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4" documentId="8_{635F71AE-C4DF-4FEC-9693-261855E88F25}" xr6:coauthVersionLast="47" xr6:coauthVersionMax="47" xr10:uidLastSave="{624D89C5-1115-4FC4-9101-DC09FED67074}"/>
  <bookViews>
    <workbookView xWindow="-110" yWindow="-110" windowWidth="25820" windowHeight="15620" activeTab="2" xr2:uid="{87897CDB-9A55-4EF2-A8CF-AB96CF6D15F2}"/>
  </bookViews>
  <sheets>
    <sheet name="Informations générales" sheetId="18" r:id="rId1"/>
    <sheet name="Plan plaque - Saisie lectures" sheetId="16" r:id="rId2"/>
    <sheet name="Résultats" sheetId="17" r:id="rId3"/>
  </sheets>
  <definedNames>
    <definedName name="A" localSheetId="2">Résultats!$E$29</definedName>
    <definedName name="A">#REF!</definedName>
    <definedName name="ABS_LOD" localSheetId="2">Résultats!$AO$22</definedName>
    <definedName name="ABS_LOD">#REF!</definedName>
    <definedName name="ABS_LOQ" localSheetId="2">Résultats!$AO$23</definedName>
    <definedName name="ABS_LOQ">#REF!</definedName>
    <definedName name="COEFF_A" localSheetId="2">Résultats!$E$29</definedName>
    <definedName name="COEFF_A">#REF!</definedName>
    <definedName name="COEFF_B" localSheetId="2">Résultats!$E$30</definedName>
    <definedName name="COEFF_B">#REF!</definedName>
    <definedName name="COEFF_C" localSheetId="2">Résultats!$E$31</definedName>
    <definedName name="COEFF_C">#REF!</definedName>
    <definedName name="NSB" localSheetId="2">Résultats!$AO$20</definedName>
    <definedName name="NSB">#REF!</definedName>
    <definedName name="SATURATION" localSheetId="2">Résultats!$H$14</definedName>
    <definedName name="SATURATION">#REF!</definedName>
    <definedName name="_xlnm.Print_Area" localSheetId="0">'Informations générales'!$A$2:$B$24</definedName>
    <definedName name="_xlnm.Print_Area" localSheetId="1">'Plan plaque - Saisie lectures'!$A$1:$P$67</definedName>
    <definedName name="_xlnm.Print_Area" localSheetId="2">Résultats!$A$1:$K$92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7" l="1"/>
  <c r="AI11" i="17"/>
  <c r="E15" i="17"/>
  <c r="D5" i="16"/>
  <c r="C7" i="17"/>
  <c r="C6" i="17"/>
  <c r="C5" i="17"/>
  <c r="G5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46" i="17"/>
  <c r="F85" i="17"/>
  <c r="F84" i="17"/>
  <c r="F80" i="17"/>
  <c r="F72" i="17"/>
  <c r="F64" i="17"/>
  <c r="F60" i="17"/>
  <c r="F57" i="17"/>
  <c r="F56" i="17"/>
  <c r="F53" i="17"/>
  <c r="F52" i="17"/>
  <c r="E52" i="17"/>
  <c r="G52" i="17" s="1"/>
  <c r="E82" i="17"/>
  <c r="F83" i="17"/>
  <c r="E51" i="17"/>
  <c r="G51" i="17" s="1"/>
  <c r="F51" i="17"/>
  <c r="E53" i="17"/>
  <c r="E50" i="17"/>
  <c r="F48" i="17"/>
  <c r="F49" i="17"/>
  <c r="E49" i="17"/>
  <c r="G49" i="17" s="1"/>
  <c r="E48" i="17"/>
  <c r="E47" i="17"/>
  <c r="G47" i="17" s="1"/>
  <c r="F47" i="17"/>
  <c r="F46" i="17"/>
  <c r="E46" i="17"/>
  <c r="I6" i="17"/>
  <c r="I5" i="17"/>
  <c r="D7" i="16"/>
  <c r="D6" i="16"/>
  <c r="G48" i="17" l="1"/>
  <c r="E56" i="17"/>
  <c r="F54" i="17"/>
  <c r="F77" i="17"/>
  <c r="F50" i="17"/>
  <c r="E62" i="17"/>
  <c r="G62" i="17" s="1"/>
  <c r="E70" i="17"/>
  <c r="G70" i="17" s="1"/>
  <c r="E78" i="17"/>
  <c r="F69" i="17"/>
  <c r="F55" i="17"/>
  <c r="F59" i="17"/>
  <c r="F63" i="17"/>
  <c r="F71" i="17"/>
  <c r="F79" i="17"/>
  <c r="F61" i="17"/>
  <c r="F65" i="17"/>
  <c r="F73" i="17"/>
  <c r="F81" i="17"/>
  <c r="E54" i="17"/>
  <c r="E58" i="17"/>
  <c r="G58" i="17" s="1"/>
  <c r="E66" i="17"/>
  <c r="G66" i="17" s="1"/>
  <c r="E74" i="17"/>
  <c r="F67" i="17"/>
  <c r="F75" i="17"/>
  <c r="F68" i="17"/>
  <c r="F76" i="17"/>
  <c r="AI46" i="17"/>
  <c r="AI65" i="17"/>
  <c r="AJ20" i="17"/>
  <c r="AM20" i="17"/>
  <c r="G50" i="17" l="1"/>
  <c r="G56" i="17"/>
  <c r="G54" i="17"/>
  <c r="E57" i="17"/>
  <c r="F58" i="17"/>
  <c r="E60" i="17"/>
  <c r="E55" i="17"/>
  <c r="B13" i="17"/>
  <c r="AJ45" i="17"/>
  <c r="D37" i="17" s="1"/>
  <c r="AI45" i="17"/>
  <c r="AJ25" i="17"/>
  <c r="AH85" i="17"/>
  <c r="AH79" i="17"/>
  <c r="AH80" i="17"/>
  <c r="AH81" i="17"/>
  <c r="AH82" i="17"/>
  <c r="AH83" i="17"/>
  <c r="AH84" i="17"/>
  <c r="AH78" i="17"/>
  <c r="AH77" i="17"/>
  <c r="AH71" i="17"/>
  <c r="AH72" i="17"/>
  <c r="AH73" i="17"/>
  <c r="AH74" i="17"/>
  <c r="AH75" i="17"/>
  <c r="AH76" i="17"/>
  <c r="AH70" i="17"/>
  <c r="AH68" i="17"/>
  <c r="AH69" i="17"/>
  <c r="AH63" i="17"/>
  <c r="AH64" i="17"/>
  <c r="AH65" i="17"/>
  <c r="AH66" i="17"/>
  <c r="AH67" i="17"/>
  <c r="AH62" i="17"/>
  <c r="AH61" i="17"/>
  <c r="AH55" i="17"/>
  <c r="AH56" i="17"/>
  <c r="AH57" i="17"/>
  <c r="AH58" i="17"/>
  <c r="AH59" i="17"/>
  <c r="AH60" i="17"/>
  <c r="AH54" i="17"/>
  <c r="AH53" i="17"/>
  <c r="AH47" i="17"/>
  <c r="AH48" i="17"/>
  <c r="AH49" i="17"/>
  <c r="AH50" i="17"/>
  <c r="AH51" i="17"/>
  <c r="AH52" i="17"/>
  <c r="AH46" i="17"/>
  <c r="AJ81" i="17"/>
  <c r="AJ83" i="17"/>
  <c r="AJ85" i="17"/>
  <c r="AJ78" i="17"/>
  <c r="AI81" i="17"/>
  <c r="AI83" i="17"/>
  <c r="AI85" i="17"/>
  <c r="AI78" i="17"/>
  <c r="AJ73" i="17"/>
  <c r="AJ75" i="17"/>
  <c r="AJ77" i="17"/>
  <c r="AJ70" i="17"/>
  <c r="AI73" i="17"/>
  <c r="AI75" i="17"/>
  <c r="AI77" i="17"/>
  <c r="AI70" i="17"/>
  <c r="AJ65" i="17"/>
  <c r="AJ67" i="17"/>
  <c r="AJ69" i="17"/>
  <c r="AJ62" i="17"/>
  <c r="AI67" i="17"/>
  <c r="AI69" i="17"/>
  <c r="AI62" i="17"/>
  <c r="AJ55" i="17"/>
  <c r="AJ57" i="17"/>
  <c r="AJ58" i="17"/>
  <c r="AJ59" i="17"/>
  <c r="AJ60" i="17"/>
  <c r="AJ61" i="17"/>
  <c r="AJ54" i="17"/>
  <c r="AI55" i="17"/>
  <c r="AI56" i="17"/>
  <c r="AI57" i="17"/>
  <c r="AI58" i="17"/>
  <c r="AI59" i="17"/>
  <c r="AI60" i="17"/>
  <c r="AI61" i="17"/>
  <c r="AI54" i="17"/>
  <c r="AJ47" i="17"/>
  <c r="AJ48" i="17"/>
  <c r="AJ49" i="17"/>
  <c r="AJ50" i="17"/>
  <c r="AJ51" i="17"/>
  <c r="AJ52" i="17"/>
  <c r="AJ53" i="17"/>
  <c r="AJ46" i="17"/>
  <c r="AI47" i="17"/>
  <c r="AI48" i="17"/>
  <c r="AI49" i="17"/>
  <c r="AI50" i="17"/>
  <c r="AI51" i="17"/>
  <c r="AI52" i="17"/>
  <c r="AI53" i="17"/>
  <c r="AM21" i="17"/>
  <c r="C13" i="17" s="1"/>
  <c r="G57" i="17" l="1"/>
  <c r="G55" i="17"/>
  <c r="G60" i="17"/>
  <c r="E64" i="17"/>
  <c r="F62" i="17"/>
  <c r="AI66" i="17"/>
  <c r="E59" i="17"/>
  <c r="AJ56" i="17"/>
  <c r="AI63" i="17"/>
  <c r="E61" i="17"/>
  <c r="AO21" i="17"/>
  <c r="E13" i="17" s="1"/>
  <c r="AO20" i="17"/>
  <c r="E12" i="17" s="1"/>
  <c r="C37" i="17"/>
  <c r="E37" i="17" s="1"/>
  <c r="G61" i="17" l="1"/>
  <c r="G64" i="17"/>
  <c r="G59" i="17"/>
  <c r="E63" i="17"/>
  <c r="AI64" i="17"/>
  <c r="E65" i="17"/>
  <c r="G65" i="17" s="1"/>
  <c r="AI68" i="17"/>
  <c r="F66" i="17"/>
  <c r="AJ63" i="17"/>
  <c r="E68" i="17"/>
  <c r="AJ66" i="17"/>
  <c r="AK26" i="17"/>
  <c r="AO22" i="17"/>
  <c r="G68" i="17" l="1"/>
  <c r="G63" i="17"/>
  <c r="E69" i="17"/>
  <c r="AJ68" i="17"/>
  <c r="E72" i="17"/>
  <c r="AI74" i="17"/>
  <c r="E67" i="17"/>
  <c r="AJ64" i="17"/>
  <c r="F70" i="17"/>
  <c r="AI71" i="17"/>
  <c r="AJ21" i="17"/>
  <c r="AJ22" i="17"/>
  <c r="AJ23" i="17"/>
  <c r="AJ24" i="17"/>
  <c r="AI22" i="17"/>
  <c r="AI23" i="17"/>
  <c r="AI24" i="17"/>
  <c r="AI25" i="17"/>
  <c r="AI21" i="17"/>
  <c r="AI20" i="17"/>
  <c r="C21" i="17" s="1"/>
  <c r="G69" i="17" l="1"/>
  <c r="G72" i="17"/>
  <c r="G67" i="17"/>
  <c r="E71" i="17"/>
  <c r="AI72" i="17"/>
  <c r="F74" i="17"/>
  <c r="AJ71" i="17"/>
  <c r="E73" i="17"/>
  <c r="AI76" i="17"/>
  <c r="E76" i="17"/>
  <c r="AJ74" i="17"/>
  <c r="N36" i="16"/>
  <c r="M36" i="16"/>
  <c r="L36" i="16"/>
  <c r="K36" i="16"/>
  <c r="J36" i="16"/>
  <c r="I36" i="16"/>
  <c r="H36" i="16"/>
  <c r="G36" i="16"/>
  <c r="F36" i="16"/>
  <c r="E36" i="16"/>
  <c r="D36" i="16"/>
  <c r="C36" i="16"/>
  <c r="G73" i="17" l="1"/>
  <c r="G71" i="17"/>
  <c r="E77" i="17"/>
  <c r="AJ76" i="17"/>
  <c r="F78" i="17"/>
  <c r="AI79" i="17"/>
  <c r="E80" i="17"/>
  <c r="AI82" i="17"/>
  <c r="E75" i="17"/>
  <c r="AJ72" i="17"/>
  <c r="E81" i="17" l="1"/>
  <c r="AI84" i="17"/>
  <c r="E84" i="17"/>
  <c r="AJ82" i="17"/>
  <c r="F82" i="17"/>
  <c r="AJ79" i="17"/>
  <c r="E79" i="17"/>
  <c r="AI80" i="17"/>
  <c r="D26" i="17"/>
  <c r="C26" i="17"/>
  <c r="E85" i="17" l="1"/>
  <c r="AJ84" i="17"/>
  <c r="E83" i="17"/>
  <c r="AJ80" i="17"/>
  <c r="D25" i="17"/>
  <c r="C25" i="17"/>
  <c r="D24" i="17"/>
  <c r="D23" i="17"/>
  <c r="C24" i="17"/>
  <c r="C23" i="17"/>
  <c r="D22" i="17"/>
  <c r="C22" i="17"/>
  <c r="D21" i="17"/>
  <c r="M13" i="17" l="1"/>
  <c r="M14" i="17"/>
  <c r="E21" i="17"/>
  <c r="G24" i="17" s="1"/>
  <c r="H14" i="17"/>
  <c r="H13" i="17"/>
  <c r="E23" i="17"/>
  <c r="F23" i="17" s="1"/>
  <c r="AL22" i="17" s="1"/>
  <c r="E25" i="17"/>
  <c r="F25" i="17" s="1"/>
  <c r="AL24" i="17" s="1"/>
  <c r="E24" i="17"/>
  <c r="F24" i="17" s="1"/>
  <c r="AL23" i="17" s="1"/>
  <c r="E26" i="17"/>
  <c r="F26" i="17" s="1"/>
  <c r="AL25" i="17" s="1"/>
  <c r="E22" i="17"/>
  <c r="F22" i="17" s="1"/>
  <c r="AL21" i="17" s="1"/>
  <c r="F21" i="17" l="1"/>
  <c r="AL20" i="17" s="1"/>
  <c r="AK20" i="17"/>
  <c r="AK21" i="17"/>
  <c r="AH20" i="17"/>
  <c r="AH25" i="17" l="1"/>
  <c r="AH23" i="17"/>
  <c r="AH24" i="17"/>
  <c r="AH21" i="17"/>
  <c r="AH22" i="17"/>
  <c r="AK23" i="17"/>
  <c r="AK24" i="17"/>
  <c r="AK22" i="17"/>
  <c r="AK25" i="17"/>
  <c r="AO23" i="17"/>
  <c r="E14" i="17"/>
  <c r="E31" i="17" l="1"/>
  <c r="E32" i="17"/>
  <c r="E30" i="17"/>
  <c r="E29" i="17" l="1" a="1"/>
  <c r="E29" i="17" s="1"/>
  <c r="H12" i="17" s="1"/>
  <c r="F32" i="17" a="1"/>
  <c r="F32" i="17" s="1"/>
  <c r="G32" i="17" s="1"/>
  <c r="F31" i="17" a="1"/>
  <c r="F31" i="17" s="1"/>
  <c r="F30" i="17" a="1"/>
  <c r="F30" i="17" s="1"/>
  <c r="F29" i="17" a="1"/>
  <c r="F29" i="17" s="1"/>
  <c r="AK84" i="17"/>
  <c r="AK85" i="17"/>
  <c r="AK76" i="17"/>
  <c r="AK83" i="17"/>
  <c r="AK75" i="17"/>
  <c r="AK67" i="17"/>
  <c r="AK73" i="17"/>
  <c r="AK80" i="17"/>
  <c r="AK72" i="17"/>
  <c r="AK64" i="17"/>
  <c r="AK79" i="17"/>
  <c r="AK71" i="17"/>
  <c r="AK63" i="17"/>
  <c r="AK70" i="17"/>
  <c r="AK82" i="17"/>
  <c r="AK66" i="17"/>
  <c r="AK81" i="17"/>
  <c r="AK77" i="17"/>
  <c r="AK69" i="17"/>
  <c r="AK74" i="17"/>
  <c r="H71" i="17" l="1"/>
  <c r="I71" i="17" s="1"/>
  <c r="H70" i="17"/>
  <c r="I70" i="17" s="1"/>
  <c r="H58" i="17"/>
  <c r="I58" i="17" s="1"/>
  <c r="H77" i="17"/>
  <c r="I77" i="17" s="1"/>
  <c r="H52" i="17"/>
  <c r="I52" i="17" s="1"/>
  <c r="H47" i="17"/>
  <c r="I47" i="17" s="1"/>
  <c r="H68" i="17"/>
  <c r="I68" i="17" s="1"/>
  <c r="H62" i="17"/>
  <c r="I62" i="17" s="1"/>
  <c r="H53" i="17"/>
  <c r="I53" i="17" s="1"/>
  <c r="H72" i="17"/>
  <c r="I72" i="17" s="1"/>
  <c r="H73" i="17"/>
  <c r="I73" i="17" s="1"/>
  <c r="H60" i="17"/>
  <c r="I60" i="17" s="1"/>
  <c r="H81" i="17"/>
  <c r="I81" i="17" s="1"/>
  <c r="H74" i="17"/>
  <c r="I74" i="17" s="1"/>
  <c r="H61" i="17"/>
  <c r="I61" i="17" s="1"/>
  <c r="H83" i="17"/>
  <c r="I83" i="17" s="1"/>
  <c r="H49" i="17"/>
  <c r="I49" i="17" s="1"/>
  <c r="H75" i="17"/>
  <c r="I75" i="17" s="1"/>
  <c r="H56" i="17"/>
  <c r="I56" i="17" s="1"/>
  <c r="H55" i="17"/>
  <c r="I55" i="17" s="1"/>
  <c r="H85" i="17"/>
  <c r="I85" i="17" s="1"/>
  <c r="H59" i="17"/>
  <c r="I59" i="17" s="1"/>
  <c r="H79" i="17"/>
  <c r="I79" i="17" s="1"/>
  <c r="H48" i="17"/>
  <c r="I48" i="17" s="1"/>
  <c r="H69" i="17"/>
  <c r="I69" i="17" s="1"/>
  <c r="H78" i="17"/>
  <c r="I78" i="17" s="1"/>
  <c r="H66" i="17"/>
  <c r="I66" i="17" s="1"/>
  <c r="H57" i="17"/>
  <c r="I57" i="17" s="1"/>
  <c r="H67" i="17"/>
  <c r="I67" i="17" s="1"/>
  <c r="H76" i="17"/>
  <c r="I76" i="17" s="1"/>
  <c r="H51" i="17"/>
  <c r="I51" i="17" s="1"/>
  <c r="H63" i="17"/>
  <c r="I63" i="17" s="1"/>
  <c r="H46" i="17"/>
  <c r="I46" i="17" s="1"/>
  <c r="H64" i="17"/>
  <c r="I64" i="17" s="1"/>
  <c r="H65" i="17"/>
  <c r="I65" i="17" s="1"/>
  <c r="H82" i="17"/>
  <c r="I82" i="17" s="1"/>
  <c r="H84" i="17"/>
  <c r="I84" i="17" s="1"/>
  <c r="H80" i="17"/>
  <c r="I80" i="17" s="1"/>
  <c r="H50" i="17"/>
  <c r="I50" i="17" s="1"/>
  <c r="H54" i="17"/>
  <c r="I54" i="17" s="1"/>
  <c r="AK62" i="17"/>
  <c r="AK65" i="17"/>
  <c r="AK68" i="17"/>
  <c r="AK78" i="17"/>
  <c r="M12" i="17"/>
  <c r="AK45" i="17"/>
  <c r="F37" i="17" s="1"/>
  <c r="G37" i="17" s="1"/>
  <c r="AK46" i="17"/>
  <c r="AK53" i="17"/>
  <c r="AK47" i="17"/>
  <c r="AK58" i="17"/>
  <c r="AK60" i="17"/>
  <c r="AK48" i="17"/>
  <c r="AK49" i="17"/>
  <c r="AK52" i="17"/>
  <c r="AK57" i="17"/>
  <c r="AK50" i="17"/>
  <c r="AK55" i="17"/>
  <c r="AK54" i="17"/>
  <c r="AK51" i="17"/>
  <c r="AK61" i="17"/>
  <c r="AK56" i="17"/>
  <c r="AK59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<sst xmlns="http://schemas.openxmlformats.org/spreadsheetml/2006/main" count="223" uniqueCount="148">
  <si>
    <t>ELISA ANTHRAX eZYDIAG® Quantitatif</t>
  </si>
  <si>
    <t>Laboratoire</t>
  </si>
  <si>
    <t>Date </t>
  </si>
  <si>
    <t>Opérateur</t>
  </si>
  <si>
    <t>Date d’ouverture du kit et des réactifs </t>
  </si>
  <si>
    <t>Nombre d’utilisations préalables du kit </t>
  </si>
  <si>
    <t>Agitateur (marque, modèle) </t>
  </si>
  <si>
    <t>Laveur (marque, modèle) </t>
  </si>
  <si>
    <t>Respect des protocoles de lavage* : oui/non</t>
  </si>
  <si>
    <t>Lecteur (marque modèle) </t>
  </si>
  <si>
    <t>Heure de début de manipulation </t>
  </si>
  <si>
    <t>Heure de fin de protocole </t>
  </si>
  <si>
    <t>Température du laboratoire </t>
  </si>
  <si>
    <t>REMARQUES</t>
  </si>
  <si>
    <t xml:space="preserve">
</t>
  </si>
  <si>
    <t>Page 1/3</t>
  </si>
  <si>
    <t xml:space="preserve">Laboratoire </t>
  </si>
  <si>
    <t xml:space="preserve">Lot kit </t>
  </si>
  <si>
    <t xml:space="preserve">Date </t>
  </si>
  <si>
    <t>(jj/mm/aaaa)</t>
  </si>
  <si>
    <t>Péremption</t>
  </si>
  <si>
    <t xml:space="preserve">Opérateur </t>
  </si>
  <si>
    <t>PLAN DE PLAQUE</t>
  </si>
  <si>
    <t>STANDARDS</t>
  </si>
  <si>
    <t>SAISIR L'IDENTIFIANT DE CHACUN DE VOS ECHANTILLONS DANS LES CASES</t>
  </si>
  <si>
    <t>A</t>
  </si>
  <si>
    <t>CAL1</t>
  </si>
  <si>
    <t>B</t>
  </si>
  <si>
    <t>CAL2</t>
  </si>
  <si>
    <t>C</t>
  </si>
  <si>
    <t>CAL3</t>
  </si>
  <si>
    <t>D</t>
  </si>
  <si>
    <t>CAL4</t>
  </si>
  <si>
    <t>E</t>
  </si>
  <si>
    <t>CAL5</t>
  </si>
  <si>
    <t>F</t>
  </si>
  <si>
    <t>CAL6</t>
  </si>
  <si>
    <t>QC</t>
  </si>
  <si>
    <t>G</t>
  </si>
  <si>
    <t>H</t>
  </si>
  <si>
    <t>Données expérimentales à entrer en Unité d'Absorbance  =  (DO 450 nm) - (DO 630 ou 620  nm)</t>
  </si>
  <si>
    <t>(Respecter le plan de plaque défini ci-dessus)</t>
  </si>
  <si>
    <t>REMARQUES/OBSERVATIONS</t>
  </si>
  <si>
    <t>Page 2/3</t>
  </si>
  <si>
    <t>ELISA Anthrax eZYDIAG® Quantitatif</t>
  </si>
  <si>
    <t xml:space="preserve">Lot Kit  </t>
  </si>
  <si>
    <t>Date</t>
  </si>
  <si>
    <t xml:space="preserve">Date péremption  </t>
  </si>
  <si>
    <t>PROTOCOLE QUANTITATIF</t>
  </si>
  <si>
    <r>
      <t xml:space="preserve">Témoin négatif (TN)
</t>
    </r>
    <r>
      <rPr>
        <sz val="12"/>
        <color theme="1"/>
        <rFont val="Calibri"/>
        <family val="2"/>
        <scheme val="minor"/>
      </rPr>
      <t>Liaison non spécifique</t>
    </r>
  </si>
  <si>
    <t>Calcul des limites de détection et quantification</t>
  </si>
  <si>
    <t>Calcul des limites de détection et quantification         (avec coefficient)</t>
  </si>
  <si>
    <t>Abs (DO)</t>
  </si>
  <si>
    <t>Moyenne (DO) =</t>
  </si>
  <si>
    <t>LOD (pg/mL) =</t>
  </si>
  <si>
    <t xml:space="preserve">  Limite de détection</t>
  </si>
  <si>
    <t>Ecart type ET =</t>
  </si>
  <si>
    <t>LOQ (pg/mL) =</t>
  </si>
  <si>
    <t xml:space="preserve">  Limite de quantification</t>
  </si>
  <si>
    <t>Moy + 3 ET =</t>
  </si>
  <si>
    <t>Saturation (DO) =</t>
  </si>
  <si>
    <t xml:space="preserve">  Signal saturation</t>
  </si>
  <si>
    <t>Gamme standard</t>
  </si>
  <si>
    <t>STD rep 1</t>
  </si>
  <si>
    <t>STD rep2</t>
  </si>
  <si>
    <t>avec coeff</t>
  </si>
  <si>
    <t xml:space="preserve">TN </t>
  </si>
  <si>
    <t>Anthrax LF (pg/mL)</t>
  </si>
  <si>
    <t>Abs 1 (DO)</t>
  </si>
  <si>
    <t>Abs 2 (DO)</t>
  </si>
  <si>
    <t>Moyenne (DO)</t>
  </si>
  <si>
    <t>Moy + 10 ET =</t>
  </si>
  <si>
    <r>
      <t>Paramètres de la courbe de calibration (y =  Ax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+Bx+C)</t>
    </r>
  </si>
  <si>
    <t>Coefficient de corrélation</t>
  </si>
  <si>
    <t>R²</t>
  </si>
  <si>
    <t>Toxin LF (pg/mL)</t>
  </si>
  <si>
    <t>Concentration 
(pg/mL)</t>
  </si>
  <si>
    <t>Précision 
(= accuracy %)</t>
  </si>
  <si>
    <t>Echantillon</t>
  </si>
  <si>
    <t>Visa Opérateur :</t>
  </si>
  <si>
    <t xml:space="preserve">Validation : </t>
  </si>
  <si>
    <t>Page 3/3</t>
  </si>
  <si>
    <t>Concentration dans l'échantillon
(pg/mL)</t>
  </si>
  <si>
    <t>ECH  N°3</t>
  </si>
  <si>
    <t>ECH N°7</t>
  </si>
  <si>
    <t>ECH N°11</t>
  </si>
  <si>
    <t>ECH N°15</t>
  </si>
  <si>
    <t>ECH N°19</t>
  </si>
  <si>
    <t>ECH N°23</t>
  </si>
  <si>
    <t>ECH N°27</t>
  </si>
  <si>
    <t>ECH N°31</t>
  </si>
  <si>
    <t>ECH N°35</t>
  </si>
  <si>
    <t>ECH N°4</t>
  </si>
  <si>
    <t>ECH N°8</t>
  </si>
  <si>
    <t>ECH N°12</t>
  </si>
  <si>
    <t>ECH N°16</t>
  </si>
  <si>
    <t>ECH N°20</t>
  </si>
  <si>
    <t>ECH N°24</t>
  </si>
  <si>
    <t>ECH N°28</t>
  </si>
  <si>
    <t>ECH N°32</t>
  </si>
  <si>
    <t>ECH N°36</t>
  </si>
  <si>
    <t>ECH N°5</t>
  </si>
  <si>
    <t>ECH N°9</t>
  </si>
  <si>
    <t>ECH N°13</t>
  </si>
  <si>
    <t>ECH N°17</t>
  </si>
  <si>
    <t>ECH N°21</t>
  </si>
  <si>
    <t>ECH N°25</t>
  </si>
  <si>
    <t>ECH N°29</t>
  </si>
  <si>
    <t>ECH N°33</t>
  </si>
  <si>
    <t>ECH N°37</t>
  </si>
  <si>
    <t>ECH N°6</t>
  </si>
  <si>
    <t>ECH N°10</t>
  </si>
  <si>
    <t>ECH N°14</t>
  </si>
  <si>
    <t>ECH N°18</t>
  </si>
  <si>
    <t>ECH N°22</t>
  </si>
  <si>
    <t>ECH N°26</t>
  </si>
  <si>
    <t>ECH N°30</t>
  </si>
  <si>
    <t>ECH N°34</t>
  </si>
  <si>
    <t>ECH N°38</t>
  </si>
  <si>
    <t>ECH  N°2</t>
  </si>
  <si>
    <t>ECH  N°1</t>
  </si>
  <si>
    <t>ECH N°39</t>
  </si>
  <si>
    <t>ECH N°40</t>
  </si>
  <si>
    <t>disponible sur</t>
  </si>
  <si>
    <t>https://www.aguettant.fr/kit-anthrax/</t>
  </si>
  <si>
    <t>ECH N°1</t>
  </si>
  <si>
    <t>ECH N°2</t>
  </si>
  <si>
    <t>V-240610</t>
  </si>
  <si>
    <t>V240610</t>
  </si>
  <si>
    <t>cal1</t>
  </si>
  <si>
    <t>cal2</t>
  </si>
  <si>
    <t>cal3</t>
  </si>
  <si>
    <t>cal4</t>
  </si>
  <si>
    <t>cal5</t>
  </si>
  <si>
    <t>cal6</t>
  </si>
  <si>
    <t>qc</t>
  </si>
  <si>
    <t>☐  conforme          ☐ non conforme</t>
  </si>
  <si>
    <t>conformité TN</t>
  </si>
  <si>
    <t>R²&gt;=0,99 ?</t>
  </si>
  <si>
    <t>Résultats échantillons</t>
  </si>
  <si>
    <t>Concentration dans le puits
(pg/mL)</t>
  </si>
  <si>
    <t>coefficient selon le lot de kit</t>
  </si>
  <si>
    <t>C-</t>
  </si>
  <si>
    <t>C- : contrôle négatif</t>
  </si>
  <si>
    <r>
      <t>COEFF</t>
    </r>
    <r>
      <rPr>
        <sz val="11"/>
        <color rgb="FF0070C0"/>
        <rFont val="Calibri"/>
        <family val="2"/>
        <scheme val="minor"/>
      </rPr>
      <t xml:space="preserve"> à saisir dans la case ci-dessous</t>
    </r>
  </si>
  <si>
    <t>conformité CAL 1</t>
  </si>
  <si>
    <t>critère d'acceptation : précision 80 - 120%</t>
  </si>
  <si>
    <t>conformité CAL6/C-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</si>
</sst>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0.0000"/>
  </numFmts>
  <fonts count="4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name val="Arial"/>
      <family val="2"/>
    </font>
    <font>
      <b/>
      <i/>
      <sz val="18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0"/>
      <name val="Segoe UI"/>
      <family val="2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249977111117893"/>
      </left>
      <right style="thin">
        <color indexed="64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64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2" fillId="0" borderId="0"/>
    <xf numFmtId="0" fontId="2" fillId="0" borderId="0"/>
  </cellStyleXfs>
  <cellXfs count="241">
    <xf numFmtId="0" fontId="0" fillId="0" borderId="0" xfId="0"/>
    <xf numFmtId="0" fontId="0" fillId="3" borderId="0" xfId="0" applyFill="1" applyProtection="1">
      <protection locked="0"/>
    </xf>
    <xf numFmtId="0" fontId="0" fillId="3" borderId="34" xfId="0" applyFill="1" applyBorder="1" applyProtection="1"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42" xfId="0" applyNumberFormat="1" applyBorder="1" applyAlignment="1" applyProtection="1">
      <alignment horizontal="left" vertical="center"/>
      <protection locked="0"/>
    </xf>
    <xf numFmtId="49" fontId="0" fillId="0" borderId="4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0" xfId="0" applyFill="1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right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3" borderId="0" xfId="0" applyFont="1" applyFill="1"/>
    <xf numFmtId="0" fontId="10" fillId="3" borderId="0" xfId="0" applyFont="1" applyFill="1" applyAlignment="1">
      <alignment vertical="center"/>
    </xf>
    <xf numFmtId="49" fontId="28" fillId="0" borderId="34" xfId="0" applyNumberFormat="1" applyFont="1" applyBorder="1" applyAlignment="1">
      <alignment vertical="center"/>
    </xf>
    <xf numFmtId="0" fontId="1" fillId="3" borderId="0" xfId="0" applyFont="1" applyFill="1"/>
    <xf numFmtId="0" fontId="22" fillId="3" borderId="0" xfId="0" applyFont="1" applyFill="1" applyAlignment="1">
      <alignment vertical="center"/>
    </xf>
    <xf numFmtId="49" fontId="15" fillId="3" borderId="33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49" fontId="15" fillId="3" borderId="33" xfId="0" applyNumberFormat="1" applyFont="1" applyFill="1" applyBorder="1" applyAlignment="1">
      <alignment vertical="center"/>
    </xf>
    <xf numFmtId="0" fontId="10" fillId="3" borderId="0" xfId="0" applyFont="1" applyFill="1"/>
    <xf numFmtId="0" fontId="3" fillId="3" borderId="0" xfId="0" applyFont="1" applyFill="1"/>
    <xf numFmtId="0" fontId="12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11" borderId="2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8" fillId="12" borderId="20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vertical="center"/>
    </xf>
    <xf numFmtId="0" fontId="4" fillId="3" borderId="0" xfId="0" quotePrefix="1" applyFont="1" applyFill="1" applyAlignment="1">
      <alignment horizontal="center"/>
    </xf>
    <xf numFmtId="0" fontId="0" fillId="3" borderId="0" xfId="0" quotePrefix="1" applyFill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21" fillId="3" borderId="0" xfId="0" applyFont="1" applyFill="1"/>
    <xf numFmtId="0" fontId="13" fillId="0" borderId="51" xfId="0" applyFont="1" applyBorder="1" applyAlignment="1">
      <alignment horizontal="center" vertical="center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0" fontId="18" fillId="12" borderId="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Protection="1"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4" fontId="0" fillId="2" borderId="33" xfId="0" applyNumberFormat="1" applyFill="1" applyBorder="1" applyAlignment="1" applyProtection="1">
      <alignment horizontal="center" vertical="center"/>
      <protection locked="0"/>
    </xf>
    <xf numFmtId="0" fontId="18" fillId="11" borderId="52" xfId="0" applyFont="1" applyFill="1" applyBorder="1" applyAlignment="1" applyProtection="1">
      <alignment horizontal="center" vertical="center"/>
      <protection locked="0"/>
    </xf>
    <xf numFmtId="165" fontId="16" fillId="5" borderId="24" xfId="1" applyNumberFormat="1" applyFont="1" applyFill="1" applyBorder="1" applyAlignment="1" applyProtection="1">
      <alignment horizontal="center" vertical="center"/>
      <protection locked="0"/>
    </xf>
    <xf numFmtId="165" fontId="16" fillId="5" borderId="7" xfId="1" applyNumberFormat="1" applyFont="1" applyFill="1" applyBorder="1" applyAlignment="1" applyProtection="1">
      <alignment horizontal="center" vertical="center"/>
      <protection locked="0"/>
    </xf>
    <xf numFmtId="0" fontId="38" fillId="3" borderId="0" xfId="4" applyFill="1" applyProtection="1"/>
    <xf numFmtId="2" fontId="0" fillId="0" borderId="27" xfId="3" applyNumberFormat="1" applyFont="1" applyFill="1" applyBorder="1" applyAlignment="1" applyProtection="1">
      <alignment horizontal="center"/>
    </xf>
    <xf numFmtId="2" fontId="0" fillId="3" borderId="0" xfId="3" applyNumberFormat="1" applyFont="1" applyFill="1" applyBorder="1" applyAlignment="1" applyProtection="1">
      <alignment horizontal="center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>
      <alignment wrapText="1"/>
    </xf>
    <xf numFmtId="0" fontId="29" fillId="3" borderId="0" xfId="0" applyFont="1" applyFill="1"/>
    <xf numFmtId="0" fontId="17" fillId="3" borderId="0" xfId="0" applyFont="1" applyFill="1"/>
    <xf numFmtId="0" fontId="17" fillId="0" borderId="0" xfId="0" applyFont="1"/>
    <xf numFmtId="0" fontId="26" fillId="3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34" fillId="3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right" vertical="center" wrapText="1"/>
    </xf>
    <xf numFmtId="14" fontId="0" fillId="3" borderId="0" xfId="0" applyNumberForma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67" fontId="0" fillId="0" borderId="23" xfId="0" applyNumberFormat="1" applyBorder="1" applyAlignment="1">
      <alignment horizontal="center" vertical="center"/>
    </xf>
    <xf numFmtId="0" fontId="17" fillId="3" borderId="0" xfId="0" applyFont="1" applyFill="1" applyAlignment="1">
      <alignment horizontal="right"/>
    </xf>
    <xf numFmtId="2" fontId="17" fillId="3" borderId="0" xfId="0" applyNumberFormat="1" applyFont="1" applyFill="1" applyAlignment="1">
      <alignment horizontal="center" vertical="center"/>
    </xf>
    <xf numFmtId="0" fontId="43" fillId="3" borderId="0" xfId="0" applyFont="1" applyFill="1"/>
    <xf numFmtId="0" fontId="0" fillId="5" borderId="45" xfId="0" applyFill="1" applyBorder="1"/>
    <xf numFmtId="167" fontId="0" fillId="0" borderId="42" xfId="0" applyNumberFormat="1" applyBorder="1" applyAlignment="1">
      <alignment horizontal="center" vertical="center"/>
    </xf>
    <xf numFmtId="166" fontId="17" fillId="3" borderId="0" xfId="0" applyNumberFormat="1" applyFont="1" applyFill="1" applyAlignment="1">
      <alignment horizontal="center" vertical="center"/>
    </xf>
    <xf numFmtId="16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0" fillId="3" borderId="0" xfId="0" applyFont="1" applyFill="1"/>
    <xf numFmtId="0" fontId="4" fillId="6" borderId="10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2" fontId="29" fillId="3" borderId="0" xfId="0" applyNumberFormat="1" applyFont="1" applyFill="1"/>
    <xf numFmtId="2" fontId="17" fillId="3" borderId="0" xfId="0" applyNumberFormat="1" applyFont="1" applyFill="1"/>
    <xf numFmtId="2" fontId="0" fillId="3" borderId="0" xfId="0" applyNumberFormat="1" applyFill="1"/>
    <xf numFmtId="2" fontId="0" fillId="0" borderId="0" xfId="0" applyNumberFormat="1"/>
    <xf numFmtId="2" fontId="17" fillId="0" borderId="0" xfId="0" applyNumberFormat="1" applyFont="1"/>
    <xf numFmtId="165" fontId="17" fillId="0" borderId="0" xfId="0" applyNumberFormat="1" applyFont="1"/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5" fontId="37" fillId="3" borderId="8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5" fontId="37" fillId="3" borderId="19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3" borderId="14" xfId="0" applyFill="1" applyBorder="1"/>
    <xf numFmtId="0" fontId="7" fillId="0" borderId="3" xfId="0" applyFont="1" applyBorder="1" applyAlignment="1">
      <alignment horizontal="center" vertical="center"/>
    </xf>
    <xf numFmtId="11" fontId="0" fillId="0" borderId="5" xfId="0" applyNumberFormat="1" applyBorder="1" applyAlignment="1">
      <alignment horizontal="center"/>
    </xf>
    <xf numFmtId="0" fontId="36" fillId="3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20" fontId="17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49" xfId="0" applyFont="1" applyFill="1" applyBorder="1" applyAlignment="1">
      <alignment horizontal="center" vertical="center"/>
    </xf>
    <xf numFmtId="0" fontId="4" fillId="13" borderId="50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 wrapText="1"/>
    </xf>
    <xf numFmtId="166" fontId="24" fillId="0" borderId="23" xfId="0" applyNumberFormat="1" applyFont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1" fillId="0" borderId="0" xfId="0" applyFont="1"/>
    <xf numFmtId="0" fontId="0" fillId="5" borderId="29" xfId="0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166" fontId="24" fillId="15" borderId="23" xfId="0" applyNumberFormat="1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24" fillId="15" borderId="42" xfId="0" applyNumberFormat="1" applyFont="1" applyFill="1" applyBorder="1" applyAlignment="1">
      <alignment horizontal="center" vertical="center"/>
    </xf>
    <xf numFmtId="11" fontId="29" fillId="3" borderId="0" xfId="0" applyNumberFormat="1" applyFont="1" applyFill="1"/>
    <xf numFmtId="0" fontId="0" fillId="5" borderId="30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6" fontId="24" fillId="15" borderId="4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3" fillId="3" borderId="0" xfId="0" applyFont="1" applyFill="1"/>
    <xf numFmtId="0" fontId="0" fillId="0" borderId="0" xfId="0" applyAlignment="1">
      <alignment wrapText="1"/>
    </xf>
    <xf numFmtId="0" fontId="29" fillId="0" borderId="0" xfId="0" applyFont="1"/>
    <xf numFmtId="0" fontId="29" fillId="3" borderId="0" xfId="0" applyFont="1" applyFill="1" applyProtection="1">
      <protection locked="0"/>
    </xf>
    <xf numFmtId="0" fontId="0" fillId="3" borderId="56" xfId="0" applyFill="1" applyBorder="1" applyAlignment="1">
      <alignment horizontal="center" vertical="center"/>
    </xf>
    <xf numFmtId="0" fontId="0" fillId="5" borderId="57" xfId="0" applyFill="1" applyBorder="1"/>
    <xf numFmtId="167" fontId="0" fillId="0" borderId="43" xfId="0" applyNumberFormat="1" applyBorder="1" applyAlignment="1">
      <alignment horizontal="center" vertical="center"/>
    </xf>
    <xf numFmtId="0" fontId="0" fillId="5" borderId="58" xfId="0" applyFill="1" applyBorder="1"/>
    <xf numFmtId="167" fontId="0" fillId="0" borderId="59" xfId="0" applyNumberFormat="1" applyBorder="1" applyAlignment="1">
      <alignment horizontal="center" vertical="center"/>
    </xf>
    <xf numFmtId="0" fontId="36" fillId="3" borderId="51" xfId="0" applyFont="1" applyFill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9" fontId="0" fillId="3" borderId="20" xfId="0" applyNumberForma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 wrapText="1"/>
    </xf>
    <xf numFmtId="2" fontId="36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20" xfId="0" applyFont="1" applyFill="1" applyBorder="1" applyAlignment="1">
      <alignment horizontal="center"/>
    </xf>
    <xf numFmtId="0" fontId="27" fillId="8" borderId="22" xfId="0" applyFont="1" applyFill="1" applyBorder="1" applyAlignment="1">
      <alignment horizontal="center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0" fillId="0" borderId="18" xfId="0" applyNumberFormat="1" applyBorder="1" applyAlignment="1" applyProtection="1">
      <alignment horizontal="left" vertical="top"/>
      <protection locked="0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8" borderId="20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9" fillId="8" borderId="22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center" vertical="center"/>
    </xf>
    <xf numFmtId="0" fontId="20" fillId="9" borderId="16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 vertical="center"/>
    </xf>
    <xf numFmtId="0" fontId="10" fillId="12" borderId="22" xfId="0" applyFont="1" applyFill="1" applyBorder="1" applyAlignment="1">
      <alignment horizontal="center" vertical="center"/>
    </xf>
    <xf numFmtId="0" fontId="0" fillId="3" borderId="61" xfId="0" applyFill="1" applyBorder="1" applyAlignment="1">
      <alignment horizontal="left" wrapText="1"/>
    </xf>
    <xf numFmtId="0" fontId="0" fillId="3" borderId="62" xfId="0" applyFill="1" applyBorder="1" applyAlignment="1">
      <alignment horizontal="left" wrapText="1"/>
    </xf>
    <xf numFmtId="0" fontId="25" fillId="14" borderId="14" xfId="0" applyFont="1" applyFill="1" applyBorder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5" fillId="14" borderId="16" xfId="0" applyFont="1" applyFill="1" applyBorder="1" applyAlignment="1">
      <alignment horizontal="center" vertical="center"/>
    </xf>
    <xf numFmtId="0" fontId="25" fillId="14" borderId="17" xfId="0" applyFont="1" applyFill="1" applyBorder="1" applyAlignment="1">
      <alignment horizontal="center" vertical="center"/>
    </xf>
    <xf numFmtId="0" fontId="39" fillId="3" borderId="63" xfId="0" applyFont="1" applyFill="1" applyBorder="1" applyAlignment="1">
      <alignment horizontal="center" vertical="center" wrapText="1"/>
    </xf>
    <xf numFmtId="0" fontId="39" fillId="3" borderId="64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7" fontId="3" fillId="0" borderId="31" xfId="0" applyNumberFormat="1" applyFont="1" applyBorder="1" applyAlignment="1">
      <alignment horizontal="center" vertical="center"/>
    </xf>
  </cellXfs>
  <cellStyles count="8">
    <cellStyle name="Lien hypertexte" xfId="4" builtinId="8"/>
    <cellStyle name="Milliers" xfId="3" builtinId="3"/>
    <cellStyle name="Normal" xfId="0" builtinId="0"/>
    <cellStyle name="Normal 2" xfId="1" xr:uid="{00000000-0005-0000-0000-000002000000}"/>
    <cellStyle name="Normal 2 2" xfId="5" xr:uid="{C43D5C49-20EF-4F0F-B717-FBFDB4963B13}"/>
    <cellStyle name="Normal 3" xfId="6" xr:uid="{6082CD23-3E56-41A0-8F4F-C196A36238CE}"/>
    <cellStyle name="Normal 4" xfId="7" xr:uid="{02BAE1A7-7BED-45AA-BA8D-BE1CB332A17B}"/>
    <cellStyle name="Pourcentage 2" xfId="2" xr:uid="{00000000-0005-0000-0000-000003000000}"/>
  </cellStyles>
  <dxfs count="7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BFF69"/>
      <color rgb="FFD6FFC1"/>
      <color rgb="FFFFFF99"/>
      <color rgb="FFA7FFFF"/>
      <color rgb="FFFFFF93"/>
      <color rgb="FFFFFF97"/>
      <color rgb="FFB2FF8B"/>
      <color rgb="FFA8FF7D"/>
      <color rgb="FFFFFF5D"/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Courbe Standard </a:t>
            </a:r>
            <a:r>
              <a:rPr lang="fr-FR" sz="1400" baseline="0"/>
              <a:t>(analysis range)</a:t>
            </a:r>
            <a:endParaRPr lang="fr-FR" sz="1400"/>
          </a:p>
          <a:p>
            <a:pPr>
              <a:defRPr/>
            </a:pPr>
            <a:r>
              <a:rPr lang="fr-FR" sz="1400">
                <a:solidFill>
                  <a:schemeClr val="tx1"/>
                </a:solidFill>
              </a:rPr>
              <a:t>y = Ax</a:t>
            </a:r>
            <a:r>
              <a:rPr lang="fr-FR" sz="1400" baseline="30000">
                <a:solidFill>
                  <a:schemeClr val="tx1"/>
                </a:solidFill>
              </a:rPr>
              <a:t>2</a:t>
            </a:r>
            <a:r>
              <a:rPr lang="fr-FR" sz="1400">
                <a:solidFill>
                  <a:schemeClr val="tx1"/>
                </a:solidFill>
              </a:rPr>
              <a:t>+Bx+C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Résultats!$AH$19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</c:marker>
          <c:trendline>
            <c:trendlineType val="poly"/>
            <c:order val="2"/>
            <c:dispRSqr val="0"/>
            <c:dispEq val="0"/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3352552497306669"/>
                  <c:y val="-2.7921165667662191E-2"/>
                </c:manualLayout>
              </c:layout>
              <c:numFmt formatCode="General" sourceLinked="0"/>
            </c:trendlineLbl>
          </c:trendline>
          <c:xVal>
            <c:numRef>
              <c:f>Résultats!$AH$20:$AH$26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Résultats!$AK$20:$AK$26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2-43DF-850A-7A575DD7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015520"/>
        <c:axId val="-2146013344"/>
      </c:scatterChart>
      <c:valAx>
        <c:axId val="-214601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Concentration (pg/mL)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crossAx val="-2146013344"/>
        <c:crosses val="autoZero"/>
        <c:crossBetween val="midCat"/>
      </c:valAx>
      <c:valAx>
        <c:axId val="-2146013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Absorbance (AU)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crossAx val="-21460155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968745</xdr:colOff>
      <xdr:row>15</xdr:row>
      <xdr:rowOff>123675</xdr:rowOff>
    </xdr:from>
    <xdr:to>
      <xdr:col>17</xdr:col>
      <xdr:colOff>63500</xdr:colOff>
      <xdr:row>34</xdr:row>
      <xdr:rowOff>15875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698500</xdr:colOff>
      <xdr:row>4</xdr:row>
      <xdr:rowOff>21166</xdr:rowOff>
    </xdr:from>
    <xdr:to>
      <xdr:col>16</xdr:col>
      <xdr:colOff>6350</xdr:colOff>
      <xdr:row>9</xdr:row>
      <xdr:rowOff>86783</xdr:rowOff>
    </xdr:to>
    <xdr:pic>
      <xdr:nvPicPr>
        <xdr:cNvPr id="2" name="Image 1" descr="IVD vs RUO - Regulatory and More">
          <a:extLst>
            <a:ext uri="{FF2B5EF4-FFF2-40B4-BE49-F238E27FC236}">
              <a16:creationId xmlns:a16="http://schemas.microsoft.com/office/drawing/2014/main" id="{05994757-ADDA-6DE2-C258-82C55D65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8083" y="899583"/>
          <a:ext cx="2853267" cy="1081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guettant.fr/kit-anthra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AB93"/>
  <sheetViews>
    <sheetView workbookViewId="0">
      <selection activeCell="B4" sqref="B4:B6"/>
    </sheetView>
  </sheetViews>
  <sheetFormatPr baseColWidth="10" defaultColWidth="11.453125" defaultRowHeight="14.5" x14ac:dyDescent="0.35"/>
  <cols>
    <col min="1" max="1" width="41.453125" bestFit="1" customWidth="1"/>
    <col min="2" max="2" width="52.7265625" customWidth="1"/>
    <col min="3" max="28" width="11.453125" style="14"/>
  </cols>
  <sheetData>
    <row r="1" spans="1:28" ht="15" thickBot="1" x14ac:dyDescent="0.4">
      <c r="A1" s="14"/>
      <c r="B1" s="14"/>
    </row>
    <row r="2" spans="1:28" ht="36.5" thickBot="1" x14ac:dyDescent="0.85">
      <c r="A2" s="177" t="s">
        <v>0</v>
      </c>
      <c r="B2" s="17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8" ht="15" thickBot="1" x14ac:dyDescent="0.4">
      <c r="A3" s="14"/>
      <c r="B3" s="14"/>
    </row>
    <row r="4" spans="1:28" s="17" customFormat="1" ht="20.149999999999999" customHeight="1" x14ac:dyDescent="0.35">
      <c r="A4" s="19" t="s">
        <v>1</v>
      </c>
      <c r="B4" s="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s="17" customFormat="1" ht="20.149999999999999" customHeight="1" x14ac:dyDescent="0.35">
      <c r="A5" s="20" t="s">
        <v>2</v>
      </c>
      <c r="B5" s="9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s="17" customFormat="1" ht="20.149999999999999" customHeight="1" x14ac:dyDescent="0.35">
      <c r="A6" s="21" t="s">
        <v>3</v>
      </c>
      <c r="B6" s="9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7" customFormat="1" ht="20.149999999999999" customHeight="1" x14ac:dyDescent="0.35">
      <c r="A7" s="20" t="s">
        <v>4</v>
      </c>
      <c r="B7" s="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17" customFormat="1" ht="20.149999999999999" customHeight="1" x14ac:dyDescent="0.35">
      <c r="A8" s="20" t="s">
        <v>5</v>
      </c>
      <c r="B8" s="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s="17" customFormat="1" ht="20.149999999999999" customHeight="1" x14ac:dyDescent="0.35">
      <c r="A9" s="20" t="s">
        <v>6</v>
      </c>
      <c r="B9" s="9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s="17" customFormat="1" ht="20.149999999999999" customHeight="1" x14ac:dyDescent="0.35">
      <c r="A10" s="20" t="s">
        <v>7</v>
      </c>
      <c r="B10" s="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s="17" customFormat="1" ht="20.149999999999999" customHeight="1" x14ac:dyDescent="0.35">
      <c r="A11" s="20" t="s">
        <v>8</v>
      </c>
      <c r="B11" s="9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s="17" customFormat="1" ht="20.149999999999999" customHeight="1" x14ac:dyDescent="0.35">
      <c r="A12" s="20" t="s">
        <v>9</v>
      </c>
      <c r="B12" s="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s="17" customFormat="1" ht="20.149999999999999" customHeight="1" x14ac:dyDescent="0.35">
      <c r="A13" s="20" t="s">
        <v>10</v>
      </c>
      <c r="B13" s="9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s="17" customFormat="1" ht="20.149999999999999" customHeight="1" x14ac:dyDescent="0.35">
      <c r="A14" s="20" t="s">
        <v>11</v>
      </c>
      <c r="B14" s="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s="17" customFormat="1" ht="20.149999999999999" customHeight="1" x14ac:dyDescent="0.35">
      <c r="A15" s="20" t="s">
        <v>12</v>
      </c>
      <c r="B15" s="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s="17" customFormat="1" ht="20.149999999999999" customHeight="1" x14ac:dyDescent="0.35">
      <c r="A16" s="12"/>
      <c r="B16" s="1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s="17" customFormat="1" ht="20.149999999999999" customHeight="1" x14ac:dyDescent="0.35">
      <c r="A17" s="12"/>
      <c r="B17" s="1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s="17" customFormat="1" ht="20.149999999999999" customHeight="1" x14ac:dyDescent="0.35">
      <c r="A18" s="12"/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s="17" customFormat="1" ht="20.149999999999999" customHeight="1" x14ac:dyDescent="0.35">
      <c r="A19" s="12"/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s="17" customFormat="1" ht="20.149999999999999" customHeight="1" x14ac:dyDescent="0.35">
      <c r="A20" s="12"/>
      <c r="B20" s="1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s="17" customFormat="1" ht="20.149999999999999" customHeight="1" thickBot="1" x14ac:dyDescent="0.4">
      <c r="A21" s="13"/>
      <c r="B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17" customFormat="1" ht="20.149999999999999" customHeight="1" x14ac:dyDescent="0.35">
      <c r="A22" s="181" t="s">
        <v>13</v>
      </c>
      <c r="B22" s="18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8" ht="288.75" customHeight="1" thickBot="1" x14ac:dyDescent="0.4">
      <c r="A23" s="179" t="s">
        <v>14</v>
      </c>
      <c r="B23" s="180"/>
    </row>
    <row r="24" spans="1:28" x14ac:dyDescent="0.35">
      <c r="A24" s="18" t="s">
        <v>127</v>
      </c>
      <c r="B24" s="18" t="s">
        <v>15</v>
      </c>
    </row>
    <row r="25" spans="1:28" x14ac:dyDescent="0.35">
      <c r="A25" s="14"/>
      <c r="B25" s="14"/>
    </row>
    <row r="26" spans="1:28" x14ac:dyDescent="0.35">
      <c r="A26" s="14"/>
      <c r="B26" s="14"/>
    </row>
    <row r="27" spans="1:28" x14ac:dyDescent="0.35">
      <c r="A27" s="14"/>
      <c r="B27" s="14"/>
    </row>
    <row r="28" spans="1:28" x14ac:dyDescent="0.35">
      <c r="A28" s="14"/>
      <c r="B28" s="14"/>
    </row>
    <row r="29" spans="1:28" x14ac:dyDescent="0.35">
      <c r="A29" s="14"/>
      <c r="B29" s="14"/>
    </row>
    <row r="30" spans="1:28" x14ac:dyDescent="0.35">
      <c r="A30" s="14"/>
      <c r="B30" s="14"/>
    </row>
    <row r="31" spans="1:28" x14ac:dyDescent="0.35">
      <c r="A31" s="14"/>
      <c r="B31" s="14"/>
    </row>
    <row r="32" spans="1:28" x14ac:dyDescent="0.35">
      <c r="A32" s="14"/>
      <c r="B32" s="14"/>
    </row>
    <row r="33" spans="1:2" x14ac:dyDescent="0.35">
      <c r="A33" s="14"/>
      <c r="B33" s="14"/>
    </row>
    <row r="34" spans="1:2" x14ac:dyDescent="0.35">
      <c r="A34" s="14"/>
      <c r="B34" s="14"/>
    </row>
    <row r="35" spans="1:2" x14ac:dyDescent="0.35">
      <c r="A35" s="14"/>
      <c r="B35" s="14"/>
    </row>
    <row r="36" spans="1:2" x14ac:dyDescent="0.35">
      <c r="A36" s="14"/>
      <c r="B36" s="14"/>
    </row>
    <row r="37" spans="1:2" x14ac:dyDescent="0.35">
      <c r="A37" s="14"/>
      <c r="B37" s="14"/>
    </row>
    <row r="38" spans="1:2" x14ac:dyDescent="0.35">
      <c r="A38" s="14"/>
      <c r="B38" s="14"/>
    </row>
    <row r="39" spans="1:2" x14ac:dyDescent="0.35">
      <c r="A39" s="14"/>
      <c r="B39" s="14"/>
    </row>
    <row r="40" spans="1:2" x14ac:dyDescent="0.35">
      <c r="A40" s="14"/>
      <c r="B40" s="14"/>
    </row>
    <row r="41" spans="1:2" x14ac:dyDescent="0.35">
      <c r="A41" s="14"/>
      <c r="B41" s="14"/>
    </row>
    <row r="42" spans="1:2" x14ac:dyDescent="0.35">
      <c r="A42" s="14"/>
      <c r="B42" s="14"/>
    </row>
    <row r="43" spans="1:2" x14ac:dyDescent="0.35">
      <c r="A43" s="14"/>
      <c r="B43" s="14"/>
    </row>
    <row r="44" spans="1:2" x14ac:dyDescent="0.35">
      <c r="A44" s="14"/>
      <c r="B44" s="14"/>
    </row>
    <row r="45" spans="1:2" x14ac:dyDescent="0.35">
      <c r="A45" s="14"/>
      <c r="B45" s="14"/>
    </row>
    <row r="46" spans="1:2" x14ac:dyDescent="0.35">
      <c r="A46" s="14"/>
      <c r="B46" s="14"/>
    </row>
    <row r="47" spans="1:2" x14ac:dyDescent="0.35">
      <c r="A47" s="14"/>
      <c r="B47" s="14"/>
    </row>
    <row r="48" spans="1:2" x14ac:dyDescent="0.35">
      <c r="A48" s="14"/>
      <c r="B48" s="14"/>
    </row>
    <row r="49" spans="1:2" x14ac:dyDescent="0.35">
      <c r="A49" s="14"/>
      <c r="B49" s="14"/>
    </row>
    <row r="50" spans="1:2" x14ac:dyDescent="0.35">
      <c r="A50" s="14"/>
      <c r="B50" s="14"/>
    </row>
    <row r="51" spans="1:2" x14ac:dyDescent="0.35">
      <c r="A51" s="14"/>
      <c r="B51" s="14"/>
    </row>
    <row r="52" spans="1:2" x14ac:dyDescent="0.35">
      <c r="A52" s="14"/>
      <c r="B52" s="14"/>
    </row>
    <row r="53" spans="1:2" x14ac:dyDescent="0.35">
      <c r="A53" s="14"/>
      <c r="B53" s="14"/>
    </row>
    <row r="54" spans="1:2" x14ac:dyDescent="0.35">
      <c r="A54" s="14"/>
      <c r="B54" s="14"/>
    </row>
    <row r="55" spans="1:2" x14ac:dyDescent="0.35">
      <c r="A55" s="14"/>
      <c r="B55" s="14"/>
    </row>
    <row r="56" spans="1:2" x14ac:dyDescent="0.35">
      <c r="A56" s="14"/>
      <c r="B56" s="14"/>
    </row>
    <row r="57" spans="1:2" x14ac:dyDescent="0.35">
      <c r="A57" s="14"/>
      <c r="B57" s="14"/>
    </row>
    <row r="58" spans="1:2" x14ac:dyDescent="0.35">
      <c r="A58" s="14"/>
      <c r="B58" s="14"/>
    </row>
    <row r="59" spans="1:2" x14ac:dyDescent="0.35">
      <c r="A59" s="14"/>
      <c r="B59" s="14"/>
    </row>
    <row r="60" spans="1:2" x14ac:dyDescent="0.35">
      <c r="A60" s="14"/>
      <c r="B60" s="14"/>
    </row>
    <row r="61" spans="1:2" x14ac:dyDescent="0.35">
      <c r="A61" s="14"/>
      <c r="B61" s="14"/>
    </row>
    <row r="62" spans="1:2" x14ac:dyDescent="0.35">
      <c r="A62" s="14"/>
      <c r="B62" s="14"/>
    </row>
    <row r="63" spans="1:2" x14ac:dyDescent="0.35">
      <c r="A63" s="14"/>
      <c r="B63" s="14"/>
    </row>
    <row r="64" spans="1:2" x14ac:dyDescent="0.35">
      <c r="A64" s="14"/>
      <c r="B64" s="14"/>
    </row>
    <row r="65" spans="1:2" x14ac:dyDescent="0.35">
      <c r="A65" s="14"/>
      <c r="B65" s="14"/>
    </row>
    <row r="66" spans="1:2" x14ac:dyDescent="0.35">
      <c r="A66" s="14"/>
      <c r="B66" s="14"/>
    </row>
    <row r="67" spans="1:2" x14ac:dyDescent="0.35">
      <c r="A67" s="14"/>
      <c r="B67" s="14"/>
    </row>
    <row r="68" spans="1:2" x14ac:dyDescent="0.35">
      <c r="A68" s="14"/>
      <c r="B68" s="14"/>
    </row>
    <row r="69" spans="1:2" x14ac:dyDescent="0.35">
      <c r="A69" s="14"/>
      <c r="B69" s="14"/>
    </row>
    <row r="70" spans="1:2" x14ac:dyDescent="0.35">
      <c r="A70" s="14"/>
      <c r="B70" s="14"/>
    </row>
    <row r="71" spans="1:2" x14ac:dyDescent="0.35">
      <c r="A71" s="14"/>
      <c r="B71" s="14"/>
    </row>
    <row r="72" spans="1:2" x14ac:dyDescent="0.35">
      <c r="A72" s="14"/>
      <c r="B72" s="14"/>
    </row>
    <row r="73" spans="1:2" x14ac:dyDescent="0.35">
      <c r="A73" s="14"/>
      <c r="B73" s="14"/>
    </row>
    <row r="74" spans="1:2" x14ac:dyDescent="0.35">
      <c r="A74" s="14"/>
      <c r="B74" s="14"/>
    </row>
    <row r="75" spans="1:2" x14ac:dyDescent="0.35">
      <c r="A75" s="14"/>
      <c r="B75" s="14"/>
    </row>
    <row r="76" spans="1:2" x14ac:dyDescent="0.35">
      <c r="A76" s="14"/>
      <c r="B76" s="14"/>
    </row>
    <row r="77" spans="1:2" x14ac:dyDescent="0.35">
      <c r="A77" s="14"/>
      <c r="B77" s="14"/>
    </row>
    <row r="78" spans="1:2" x14ac:dyDescent="0.35">
      <c r="A78" s="14"/>
      <c r="B78" s="14"/>
    </row>
    <row r="79" spans="1:2" x14ac:dyDescent="0.35">
      <c r="A79" s="14"/>
      <c r="B79" s="14"/>
    </row>
    <row r="80" spans="1:2" x14ac:dyDescent="0.35">
      <c r="A80" s="14"/>
      <c r="B80" s="14"/>
    </row>
    <row r="81" spans="1:2" x14ac:dyDescent="0.35">
      <c r="A81" s="14"/>
      <c r="B81" s="14"/>
    </row>
    <row r="82" spans="1:2" x14ac:dyDescent="0.35">
      <c r="A82" s="14"/>
      <c r="B82" s="14"/>
    </row>
    <row r="83" spans="1:2" x14ac:dyDescent="0.35">
      <c r="A83" s="14"/>
      <c r="B83" s="14"/>
    </row>
    <row r="84" spans="1:2" x14ac:dyDescent="0.35">
      <c r="A84" s="14"/>
      <c r="B84" s="14"/>
    </row>
    <row r="85" spans="1:2" x14ac:dyDescent="0.35">
      <c r="A85" s="14"/>
      <c r="B85" s="14"/>
    </row>
    <row r="86" spans="1:2" x14ac:dyDescent="0.35">
      <c r="A86" s="14"/>
      <c r="B86" s="14"/>
    </row>
    <row r="87" spans="1:2" x14ac:dyDescent="0.35">
      <c r="A87" s="14"/>
      <c r="B87" s="14"/>
    </row>
    <row r="88" spans="1:2" x14ac:dyDescent="0.35">
      <c r="A88" s="14"/>
      <c r="B88" s="14"/>
    </row>
    <row r="89" spans="1:2" x14ac:dyDescent="0.35">
      <c r="A89" s="14"/>
      <c r="B89" s="14"/>
    </row>
    <row r="90" spans="1:2" x14ac:dyDescent="0.35">
      <c r="A90" s="14"/>
      <c r="B90" s="14"/>
    </row>
    <row r="91" spans="1:2" x14ac:dyDescent="0.35">
      <c r="A91" s="14"/>
      <c r="B91" s="14"/>
    </row>
    <row r="92" spans="1:2" x14ac:dyDescent="0.35">
      <c r="A92" s="14"/>
      <c r="B92" s="14"/>
    </row>
    <row r="93" spans="1:2" x14ac:dyDescent="0.35">
      <c r="A93" s="14"/>
      <c r="B93" s="14"/>
    </row>
  </sheetData>
  <sheetProtection algorithmName="SHA-512" hashValue="hyyKjbRTF6cJbNeai2mZsc2LiMDmAn5xFcFcvg8+Y58zDMUbytGaR3qjpYGYkQbe8WDEFnmdWf/ubVRGeAzX5A==" saltValue="f5kMkh6VuBskpIL9B7Rv/w==" spinCount="100000" sheet="1" formatCells="0" formatColumns="0" formatRows="0" insertColumns="0" insertRows="0" insertHyperlinks="0" deleteColumns="0" deleteRows="0" selectLockedCells="1" sort="0" autoFilter="0"/>
  <mergeCells count="3">
    <mergeCell ref="A2:B2"/>
    <mergeCell ref="A23:B23"/>
    <mergeCell ref="A22:B22"/>
  </mergeCells>
  <pageMargins left="0.51" right="0.28999999999999998" top="0.65" bottom="0.3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AP91"/>
  <sheetViews>
    <sheetView zoomScale="50" zoomScaleNormal="50" workbookViewId="0">
      <selection activeCell="C37" sqref="C37:D37"/>
    </sheetView>
  </sheetViews>
  <sheetFormatPr baseColWidth="10" defaultColWidth="9.26953125" defaultRowHeight="14.5" x14ac:dyDescent="0.35"/>
  <cols>
    <col min="1" max="1" width="1.7265625" customWidth="1"/>
    <col min="2" max="14" width="12.7265625" customWidth="1"/>
    <col min="15" max="15" width="3.453125" customWidth="1"/>
    <col min="16" max="16" width="1.26953125" style="14" customWidth="1"/>
    <col min="17" max="42" width="9.26953125" style="14"/>
  </cols>
  <sheetData>
    <row r="1" spans="1:42" s="14" customFormat="1" ht="15" thickBot="1" x14ac:dyDescent="0.4"/>
    <row r="2" spans="1:42" s="14" customFormat="1" ht="36.5" thickBot="1" x14ac:dyDescent="0.85">
      <c r="B2" s="183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  <c r="P2" s="22"/>
    </row>
    <row r="3" spans="1:42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42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42" ht="20.149999999999999" customHeight="1" x14ac:dyDescent="0.35">
      <c r="A5" s="14"/>
      <c r="B5" s="23" t="s">
        <v>16</v>
      </c>
      <c r="C5" s="14"/>
      <c r="D5" s="24">
        <f>'Informations générales'!B4</f>
        <v>0</v>
      </c>
      <c r="E5" s="25"/>
      <c r="F5" s="25"/>
      <c r="G5" s="25"/>
      <c r="H5" s="14"/>
      <c r="I5" s="14"/>
      <c r="J5" s="14"/>
      <c r="K5" s="14"/>
      <c r="L5" s="14"/>
      <c r="M5" s="23" t="s">
        <v>17</v>
      </c>
      <c r="N5" s="61"/>
      <c r="O5" s="14"/>
    </row>
    <row r="6" spans="1:42" ht="20.149999999999999" customHeight="1" x14ac:dyDescent="0.35">
      <c r="A6" s="14"/>
      <c r="B6" s="23" t="s">
        <v>18</v>
      </c>
      <c r="C6" s="26" t="s">
        <v>19</v>
      </c>
      <c r="D6" s="27">
        <f>'Informations générales'!B5</f>
        <v>0</v>
      </c>
      <c r="E6" s="28"/>
      <c r="F6" s="14"/>
      <c r="G6" s="14"/>
      <c r="H6" s="14"/>
      <c r="I6" s="14"/>
      <c r="J6" s="14"/>
      <c r="K6" s="14"/>
      <c r="L6" s="14"/>
      <c r="M6" s="23" t="s">
        <v>20</v>
      </c>
      <c r="N6" s="62"/>
      <c r="O6" s="29"/>
    </row>
    <row r="7" spans="1:42" ht="20.149999999999999" customHeight="1" x14ac:dyDescent="0.35">
      <c r="A7" s="14"/>
      <c r="B7" s="23" t="s">
        <v>21</v>
      </c>
      <c r="C7" s="14"/>
      <c r="D7" s="30">
        <f>'Informations générales'!B6</f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42" ht="20.149999999999999" customHeight="1" x14ac:dyDescent="0.35">
      <c r="A8" s="14"/>
      <c r="B8" s="3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42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42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42" ht="15" thickBot="1" x14ac:dyDescent="0.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42" x14ac:dyDescent="0.35">
      <c r="A12" s="14"/>
      <c r="B12" s="192" t="s">
        <v>22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4"/>
      <c r="O12" s="14"/>
    </row>
    <row r="13" spans="1:42" ht="15" thickBot="1" x14ac:dyDescent="0.4">
      <c r="A13" s="14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7"/>
      <c r="O13" s="14"/>
    </row>
    <row r="14" spans="1:42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42" ht="15" thickBot="1" x14ac:dyDescent="0.4">
      <c r="A15" s="32"/>
      <c r="B15" s="32"/>
      <c r="C15" s="32"/>
      <c r="D15" s="32"/>
      <c r="E15" s="32"/>
      <c r="F15" s="32"/>
      <c r="G15" s="14"/>
      <c r="H15" s="14"/>
      <c r="I15" s="14"/>
      <c r="J15" s="14"/>
      <c r="K15" s="28"/>
      <c r="L15" s="14"/>
      <c r="M15" s="14"/>
      <c r="N15" s="14"/>
      <c r="O15" s="14"/>
    </row>
    <row r="16" spans="1:42" s="17" customFormat="1" ht="26.25" customHeight="1" thickBot="1" x14ac:dyDescent="0.4">
      <c r="A16" s="16"/>
      <c r="B16" s="16"/>
      <c r="C16" s="198" t="s">
        <v>23</v>
      </c>
      <c r="D16" s="199"/>
      <c r="E16" s="200" t="s">
        <v>24</v>
      </c>
      <c r="F16" s="201"/>
      <c r="G16" s="201"/>
      <c r="H16" s="201"/>
      <c r="I16" s="201"/>
      <c r="J16" s="201"/>
      <c r="K16" s="201"/>
      <c r="L16" s="201"/>
      <c r="M16" s="201"/>
      <c r="N16" s="20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ht="16" thickBot="1" x14ac:dyDescent="0.4">
      <c r="A17" s="14"/>
      <c r="B17" s="14"/>
      <c r="C17" s="33">
        <v>1</v>
      </c>
      <c r="D17" s="34">
        <v>2</v>
      </c>
      <c r="E17" s="35">
        <v>3</v>
      </c>
      <c r="F17" s="33">
        <v>4</v>
      </c>
      <c r="G17" s="36">
        <v>5</v>
      </c>
      <c r="H17" s="37">
        <v>6</v>
      </c>
      <c r="I17" s="33">
        <v>7</v>
      </c>
      <c r="J17" s="33">
        <v>8</v>
      </c>
      <c r="K17" s="33">
        <v>9</v>
      </c>
      <c r="L17" s="36">
        <v>10</v>
      </c>
      <c r="M17" s="33">
        <v>11</v>
      </c>
      <c r="N17" s="38">
        <v>12</v>
      </c>
      <c r="O17" s="14"/>
    </row>
    <row r="18" spans="1:42" s="44" customFormat="1" ht="30" customHeight="1" thickBot="1" x14ac:dyDescent="0.4">
      <c r="A18" s="39"/>
      <c r="B18" s="40" t="s">
        <v>25</v>
      </c>
      <c r="C18" s="41" t="s">
        <v>26</v>
      </c>
      <c r="D18" s="42" t="s">
        <v>26</v>
      </c>
      <c r="E18" s="203" t="s">
        <v>120</v>
      </c>
      <c r="F18" s="203" t="s">
        <v>101</v>
      </c>
      <c r="G18" s="203" t="s">
        <v>102</v>
      </c>
      <c r="H18" s="203" t="s">
        <v>103</v>
      </c>
      <c r="I18" s="203" t="s">
        <v>104</v>
      </c>
      <c r="J18" s="203" t="s">
        <v>105</v>
      </c>
      <c r="K18" s="203" t="s">
        <v>106</v>
      </c>
      <c r="L18" s="203" t="s">
        <v>107</v>
      </c>
      <c r="M18" s="205" t="s">
        <v>108</v>
      </c>
      <c r="N18" s="205" t="s">
        <v>109</v>
      </c>
      <c r="O18" s="43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s="44" customFormat="1" ht="30" customHeight="1" thickBot="1" x14ac:dyDescent="0.4">
      <c r="A19" s="39"/>
      <c r="B19" s="45" t="s">
        <v>27</v>
      </c>
      <c r="C19" s="41" t="s">
        <v>28</v>
      </c>
      <c r="D19" s="42" t="s">
        <v>28</v>
      </c>
      <c r="E19" s="204"/>
      <c r="F19" s="204"/>
      <c r="G19" s="204"/>
      <c r="H19" s="204"/>
      <c r="I19" s="204"/>
      <c r="J19" s="204"/>
      <c r="K19" s="204"/>
      <c r="L19" s="204"/>
      <c r="M19" s="206"/>
      <c r="N19" s="20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s="44" customFormat="1" ht="30" customHeight="1" thickBot="1" x14ac:dyDescent="0.4">
      <c r="A20" s="39"/>
      <c r="B20" s="46" t="s">
        <v>29</v>
      </c>
      <c r="C20" s="41" t="s">
        <v>30</v>
      </c>
      <c r="D20" s="42" t="s">
        <v>30</v>
      </c>
      <c r="E20" s="203" t="s">
        <v>119</v>
      </c>
      <c r="F20" s="203" t="s">
        <v>110</v>
      </c>
      <c r="G20" s="203" t="s">
        <v>111</v>
      </c>
      <c r="H20" s="203" t="s">
        <v>112</v>
      </c>
      <c r="I20" s="203" t="s">
        <v>113</v>
      </c>
      <c r="J20" s="203" t="s">
        <v>114</v>
      </c>
      <c r="K20" s="203" t="s">
        <v>115</v>
      </c>
      <c r="L20" s="203" t="s">
        <v>116</v>
      </c>
      <c r="M20" s="205" t="s">
        <v>117</v>
      </c>
      <c r="N20" s="205" t="s">
        <v>118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s="44" customFormat="1" ht="30" customHeight="1" thickBot="1" x14ac:dyDescent="0.4">
      <c r="A21" s="39"/>
      <c r="B21" s="45" t="s">
        <v>31</v>
      </c>
      <c r="C21" s="41" t="s">
        <v>32</v>
      </c>
      <c r="D21" s="42" t="s">
        <v>32</v>
      </c>
      <c r="E21" s="204"/>
      <c r="F21" s="204"/>
      <c r="G21" s="204"/>
      <c r="H21" s="204"/>
      <c r="I21" s="204"/>
      <c r="J21" s="204"/>
      <c r="K21" s="204"/>
      <c r="L21" s="204"/>
      <c r="M21" s="206"/>
      <c r="N21" s="20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s="44" customFormat="1" ht="30" customHeight="1" thickBot="1" x14ac:dyDescent="0.4">
      <c r="A22" s="39"/>
      <c r="B22" s="46" t="s">
        <v>33</v>
      </c>
      <c r="C22" s="41" t="s">
        <v>34</v>
      </c>
      <c r="D22" s="42" t="s">
        <v>34</v>
      </c>
      <c r="E22" s="203" t="s">
        <v>83</v>
      </c>
      <c r="F22" s="203" t="s">
        <v>84</v>
      </c>
      <c r="G22" s="203" t="s">
        <v>85</v>
      </c>
      <c r="H22" s="203" t="s">
        <v>86</v>
      </c>
      <c r="I22" s="203" t="s">
        <v>87</v>
      </c>
      <c r="J22" s="203" t="s">
        <v>88</v>
      </c>
      <c r="K22" s="203" t="s">
        <v>89</v>
      </c>
      <c r="L22" s="203" t="s">
        <v>90</v>
      </c>
      <c r="M22" s="205" t="s">
        <v>91</v>
      </c>
      <c r="N22" s="205" t="s">
        <v>121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s="44" customFormat="1" ht="30" customHeight="1" thickBot="1" x14ac:dyDescent="0.4">
      <c r="A23" s="39"/>
      <c r="B23" s="45" t="s">
        <v>35</v>
      </c>
      <c r="C23" s="41" t="s">
        <v>36</v>
      </c>
      <c r="D23" s="42" t="s">
        <v>36</v>
      </c>
      <c r="E23" s="204"/>
      <c r="F23" s="204"/>
      <c r="G23" s="204"/>
      <c r="H23" s="204"/>
      <c r="I23" s="204"/>
      <c r="J23" s="204"/>
      <c r="K23" s="204"/>
      <c r="L23" s="204"/>
      <c r="M23" s="206"/>
      <c r="N23" s="20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s="44" customFormat="1" ht="30" customHeight="1" thickBot="1" x14ac:dyDescent="0.4">
      <c r="A24" s="39"/>
      <c r="B24" s="40" t="s">
        <v>38</v>
      </c>
      <c r="C24" s="47" t="s">
        <v>142</v>
      </c>
      <c r="D24" s="48" t="s">
        <v>142</v>
      </c>
      <c r="E24" s="203" t="s">
        <v>92</v>
      </c>
      <c r="F24" s="203" t="s">
        <v>93</v>
      </c>
      <c r="G24" s="203" t="s">
        <v>94</v>
      </c>
      <c r="H24" s="203" t="s">
        <v>95</v>
      </c>
      <c r="I24" s="203" t="s">
        <v>96</v>
      </c>
      <c r="J24" s="203" t="s">
        <v>97</v>
      </c>
      <c r="K24" s="203" t="s">
        <v>98</v>
      </c>
      <c r="L24" s="203" t="s">
        <v>99</v>
      </c>
      <c r="M24" s="205" t="s">
        <v>100</v>
      </c>
      <c r="N24" s="205" t="s">
        <v>122</v>
      </c>
      <c r="O24" s="39"/>
      <c r="P24" s="39"/>
      <c r="Q24" s="39"/>
      <c r="R24" s="4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s="44" customFormat="1" ht="30" customHeight="1" thickBot="1" x14ac:dyDescent="0.4">
      <c r="A25" s="39"/>
      <c r="B25" s="45" t="s">
        <v>39</v>
      </c>
      <c r="C25" s="41" t="s">
        <v>37</v>
      </c>
      <c r="D25" s="42" t="s">
        <v>37</v>
      </c>
      <c r="E25" s="204"/>
      <c r="F25" s="204"/>
      <c r="G25" s="204"/>
      <c r="H25" s="204"/>
      <c r="I25" s="204"/>
      <c r="J25" s="204"/>
      <c r="K25" s="204"/>
      <c r="L25" s="204"/>
      <c r="M25" s="206"/>
      <c r="N25" s="206"/>
      <c r="O25" s="39"/>
      <c r="P25" s="39"/>
      <c r="Q25" s="39"/>
      <c r="R25" s="4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42" x14ac:dyDescent="0.35">
      <c r="A27" s="14"/>
      <c r="B27" s="14" t="s">
        <v>143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42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42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42" ht="15" customHeight="1" thickBot="1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42" ht="15" customHeight="1" x14ac:dyDescent="0.35">
      <c r="A31" s="14"/>
      <c r="B31" s="186" t="s">
        <v>40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8"/>
      <c r="O31" s="14"/>
    </row>
    <row r="32" spans="1:42" ht="15.75" customHeight="1" thickBot="1" x14ac:dyDescent="0.4">
      <c r="A32" s="14"/>
      <c r="B32" s="189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1"/>
      <c r="O32" s="14"/>
    </row>
    <row r="33" spans="1:15" x14ac:dyDescent="0.35">
      <c r="A33" s="14"/>
      <c r="B33" s="14"/>
      <c r="C33" s="14"/>
      <c r="D33" s="14"/>
      <c r="E33" s="14"/>
      <c r="F33" s="14"/>
      <c r="G33" s="14"/>
      <c r="I33" s="14"/>
      <c r="J33" s="14"/>
      <c r="K33" s="14"/>
      <c r="L33" s="14"/>
      <c r="M33" s="14"/>
      <c r="N33" s="14"/>
      <c r="O33" s="14"/>
    </row>
    <row r="34" spans="1:15" ht="18.5" x14ac:dyDescent="0.35">
      <c r="A34" s="14"/>
      <c r="B34" s="14"/>
      <c r="C34" s="14"/>
      <c r="D34" s="14"/>
      <c r="E34" s="14"/>
      <c r="F34" s="14"/>
      <c r="G34" s="14"/>
      <c r="H34" s="50" t="s">
        <v>41</v>
      </c>
      <c r="I34" s="14"/>
      <c r="J34" s="14"/>
      <c r="K34" s="14"/>
      <c r="L34" s="14"/>
      <c r="M34" s="14"/>
      <c r="N34" s="14"/>
      <c r="O34" s="14"/>
    </row>
    <row r="35" spans="1:15" ht="15" thickBot="1" x14ac:dyDescent="0.4">
      <c r="A35" s="14"/>
      <c r="B35" s="14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14"/>
    </row>
    <row r="36" spans="1:15" ht="20.149999999999999" customHeight="1" thickBot="1" x14ac:dyDescent="0.4">
      <c r="A36" s="14"/>
      <c r="B36" s="14"/>
      <c r="C36" s="33">
        <f>+IF(AND(ISERR(C37*2),LEN(C37)&gt;0),"Pb saisie",1)</f>
        <v>1</v>
      </c>
      <c r="D36" s="33">
        <f>+IF(AND(ISERR(D37*2),LEN(D37)&gt;0),"Pb saisie",2)</f>
        <v>2</v>
      </c>
      <c r="E36" s="33">
        <f>+IF(AND(ISERR(E37*2),LEN(E37)&gt;0),"Pb saisie",3)</f>
        <v>3</v>
      </c>
      <c r="F36" s="33">
        <f>+IF(AND(ISERR(F37*2),LEN(F37)&gt;0),"Pb saisie",4)</f>
        <v>4</v>
      </c>
      <c r="G36" s="33">
        <f>+IF(AND(ISERR(G37*2),LEN(G37)&gt;0),"Pb saisie",5)</f>
        <v>5</v>
      </c>
      <c r="H36" s="33">
        <f>+IF(AND(ISERR(H37*2),LEN(H37)&gt;0),"Pb saisie",6)</f>
        <v>6</v>
      </c>
      <c r="I36" s="33">
        <f>+IF(AND(ISERR(I37*2),LEN(I37)&gt;0),"Pb saisie",7)</f>
        <v>7</v>
      </c>
      <c r="J36" s="33">
        <f>+IF(AND(ISERR(J37*2),LEN(J37)&gt;0),"Pb saisie",8)</f>
        <v>8</v>
      </c>
      <c r="K36" s="33">
        <f>+IF(AND(ISERR(K37*2),LEN(K37)&gt;0),"Pb saisie",9)</f>
        <v>9</v>
      </c>
      <c r="L36" s="33">
        <f>+IF(AND(ISERR(L37*2),LEN(L37)&gt;0),"Pb saisie",10)</f>
        <v>10</v>
      </c>
      <c r="M36" s="33">
        <f>+IF(AND(ISERR(M37*2),LEN(M37)&gt;0),"Pb saisie",11)</f>
        <v>11</v>
      </c>
      <c r="N36" s="33">
        <f>+IF(AND(ISERR(N37*2),LEN(N37)&gt;0),"Pb saisie",12)</f>
        <v>12</v>
      </c>
      <c r="O36" s="14"/>
    </row>
    <row r="37" spans="1:15" ht="30" customHeight="1" x14ac:dyDescent="0.35">
      <c r="A37" s="14"/>
      <c r="B37" s="40" t="s">
        <v>25</v>
      </c>
      <c r="C37" s="5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14"/>
    </row>
    <row r="38" spans="1:15" ht="30" customHeight="1" thickBot="1" x14ac:dyDescent="0.4">
      <c r="A38" s="14"/>
      <c r="B38" s="46" t="s">
        <v>27</v>
      </c>
      <c r="C38" s="58"/>
      <c r="D38" s="6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14"/>
    </row>
    <row r="39" spans="1:15" ht="30" customHeight="1" x14ac:dyDescent="0.35">
      <c r="A39" s="14"/>
      <c r="B39" s="57" t="s">
        <v>29</v>
      </c>
      <c r="C39" s="58"/>
      <c r="D39" s="58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4"/>
    </row>
    <row r="40" spans="1:15" ht="30" customHeight="1" thickBot="1" x14ac:dyDescent="0.4">
      <c r="A40" s="14"/>
      <c r="B40" s="57" t="s">
        <v>31</v>
      </c>
      <c r="C40" s="58"/>
      <c r="D40" s="5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14"/>
    </row>
    <row r="41" spans="1:15" ht="30" customHeight="1" x14ac:dyDescent="0.35">
      <c r="A41" s="14"/>
      <c r="B41" s="57" t="s">
        <v>33</v>
      </c>
      <c r="C41" s="58"/>
      <c r="D41" s="58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14"/>
    </row>
    <row r="42" spans="1:15" ht="30" customHeight="1" thickBot="1" x14ac:dyDescent="0.4">
      <c r="A42" s="14"/>
      <c r="B42" s="57" t="s">
        <v>35</v>
      </c>
      <c r="C42" s="58"/>
      <c r="D42" s="58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14"/>
    </row>
    <row r="43" spans="1:15" ht="30" customHeight="1" x14ac:dyDescent="0.35">
      <c r="A43" s="14"/>
      <c r="B43" s="57" t="s">
        <v>38</v>
      </c>
      <c r="C43" s="59"/>
      <c r="D43" s="59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14"/>
    </row>
    <row r="44" spans="1:15" ht="30" customHeight="1" thickBot="1" x14ac:dyDescent="0.4">
      <c r="A44" s="14"/>
      <c r="B44" s="45" t="s">
        <v>39</v>
      </c>
      <c r="C44" s="58"/>
      <c r="D44" s="58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14"/>
    </row>
    <row r="45" spans="1:15" ht="8.25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5.2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5" thickBot="1" x14ac:dyDescent="0.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O47" s="14"/>
    </row>
    <row r="48" spans="1:15" x14ac:dyDescent="0.35">
      <c r="A48" s="14"/>
      <c r="B48" s="60" t="s">
        <v>42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  <c r="O48" s="14"/>
    </row>
    <row r="49" spans="1:15" x14ac:dyDescent="0.35">
      <c r="A49" s="14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14"/>
    </row>
    <row r="50" spans="1:15" x14ac:dyDescent="0.35">
      <c r="A50" s="14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4"/>
    </row>
    <row r="51" spans="1:15" x14ac:dyDescent="0.35">
      <c r="A51" s="14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14"/>
    </row>
    <row r="52" spans="1:15" x14ac:dyDescent="0.35">
      <c r="A52" s="14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14"/>
    </row>
    <row r="53" spans="1:15" x14ac:dyDescent="0.35">
      <c r="A53" s="14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14"/>
    </row>
    <row r="54" spans="1:15" x14ac:dyDescent="0.35">
      <c r="A54" s="14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4"/>
    </row>
    <row r="55" spans="1:15" x14ac:dyDescent="0.35">
      <c r="A55" s="14"/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4"/>
    </row>
    <row r="56" spans="1:15" x14ac:dyDescent="0.35">
      <c r="A56" s="14"/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14"/>
    </row>
    <row r="57" spans="1:15" x14ac:dyDescent="0.35">
      <c r="A57" s="14"/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4"/>
    </row>
    <row r="58" spans="1:15" x14ac:dyDescent="0.35">
      <c r="A58" s="14"/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4"/>
    </row>
    <row r="59" spans="1:15" x14ac:dyDescent="0.35">
      <c r="A59" s="14"/>
      <c r="B59" s="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4"/>
    </row>
    <row r="60" spans="1:15" x14ac:dyDescent="0.35">
      <c r="A60" s="14"/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4"/>
    </row>
    <row r="61" spans="1:15" x14ac:dyDescent="0.35">
      <c r="A61" s="14"/>
      <c r="B61" s="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4"/>
    </row>
    <row r="62" spans="1:15" ht="15" thickBot="1" x14ac:dyDescent="0.4">
      <c r="A62" s="14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14"/>
    </row>
    <row r="63" spans="1:15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ht="18.5" x14ac:dyDescent="0.4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 t="s">
        <v>127</v>
      </c>
      <c r="N67" s="56" t="s">
        <v>43</v>
      </c>
      <c r="O67" s="14"/>
    </row>
    <row r="68" spans="1:15" s="14" customFormat="1" x14ac:dyDescent="0.35"/>
    <row r="69" spans="1:15" s="14" customFormat="1" x14ac:dyDescent="0.35"/>
    <row r="70" spans="1:15" s="14" customFormat="1" x14ac:dyDescent="0.35"/>
    <row r="71" spans="1:15" s="14" customFormat="1" x14ac:dyDescent="0.35"/>
    <row r="72" spans="1:15" s="14" customFormat="1" x14ac:dyDescent="0.35"/>
    <row r="73" spans="1:15" s="14" customFormat="1" x14ac:dyDescent="0.35"/>
    <row r="74" spans="1:15" s="14" customFormat="1" x14ac:dyDescent="0.35"/>
    <row r="75" spans="1:15" s="14" customFormat="1" x14ac:dyDescent="0.35"/>
    <row r="76" spans="1:15" s="14" customFormat="1" x14ac:dyDescent="0.35"/>
    <row r="77" spans="1:15" s="14" customFormat="1" x14ac:dyDescent="0.35"/>
    <row r="78" spans="1:15" s="14" customFormat="1" x14ac:dyDescent="0.35"/>
    <row r="79" spans="1:15" s="14" customFormat="1" x14ac:dyDescent="0.35"/>
    <row r="80" spans="1:15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</sheetData>
  <sheetProtection algorithmName="SHA-512" hashValue="ZRnrXVtuDwfAzY2i/42HgNZqnkU5amdm6wyPpZXnP4E/vqyDC7u4/IhyGGyekthKczoRUpNrg2AiUhRrd4feyA==" saltValue="64Gpux+XUCxWlyhK6mMDtQ==" spinCount="100000" sheet="1" selectLockedCells="1"/>
  <mergeCells count="45">
    <mergeCell ref="E18:E19"/>
    <mergeCell ref="E20:E21"/>
    <mergeCell ref="F20:F21"/>
    <mergeCell ref="G20:G21"/>
    <mergeCell ref="H20:H21"/>
    <mergeCell ref="F18:F19"/>
    <mergeCell ref="G18:G19"/>
    <mergeCell ref="H18:H19"/>
    <mergeCell ref="I18:I19"/>
    <mergeCell ref="J18:J19"/>
    <mergeCell ref="N22:N23"/>
    <mergeCell ref="N20:N21"/>
    <mergeCell ref="I20:I21"/>
    <mergeCell ref="J20:J21"/>
    <mergeCell ref="N18:N19"/>
    <mergeCell ref="K18:K19"/>
    <mergeCell ref="L18:L19"/>
    <mergeCell ref="M18:M19"/>
    <mergeCell ref="K20:K21"/>
    <mergeCell ref="L20:L21"/>
    <mergeCell ref="M20:M21"/>
    <mergeCell ref="N24:N25"/>
    <mergeCell ref="G24:G25"/>
    <mergeCell ref="H24:H25"/>
    <mergeCell ref="I24:I25"/>
    <mergeCell ref="J24:J25"/>
    <mergeCell ref="K24:K25"/>
    <mergeCell ref="L24:L25"/>
    <mergeCell ref="M24:M25"/>
    <mergeCell ref="B2:O2"/>
    <mergeCell ref="B31:N32"/>
    <mergeCell ref="B12:N13"/>
    <mergeCell ref="C16:D16"/>
    <mergeCell ref="E16:N16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E24:E25"/>
    <mergeCell ref="F24:F25"/>
  </mergeCells>
  <phoneticPr fontId="31" type="noConversion"/>
  <conditionalFormatting sqref="C36:N36">
    <cfRule type="containsText" dxfId="6" priority="6" operator="containsText" text="Pb saisie">
      <formula>NOT(ISERROR(SEARCH("Pb saisie",C36)))</formula>
    </cfRule>
  </conditionalFormatting>
  <conditionalFormatting sqref="E36:I36">
    <cfRule type="containsText" dxfId="5" priority="1" operator="containsText" text="Pb saisie">
      <formula>NOT(ISERROR(SEARCH("Pb saisie",E36)))</formula>
    </cfRule>
  </conditionalFormatting>
  <pageMargins left="0.24" right="0.24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Y121"/>
  <sheetViews>
    <sheetView tabSelected="1" zoomScale="60" zoomScaleNormal="60" workbookViewId="0">
      <selection activeCell="F20" sqref="F20"/>
    </sheetView>
  </sheetViews>
  <sheetFormatPr baseColWidth="10" defaultColWidth="9.26953125" defaultRowHeight="14.5" x14ac:dyDescent="0.35"/>
  <cols>
    <col min="1" max="1" width="2.54296875" style="14" customWidth="1"/>
    <col min="2" max="2" width="22.7265625" bestFit="1" customWidth="1"/>
    <col min="3" max="3" width="14.26953125" customWidth="1"/>
    <col min="4" max="4" width="17.81640625" bestFit="1" customWidth="1"/>
    <col min="5" max="5" width="17.7265625" bestFit="1" customWidth="1"/>
    <col min="6" max="6" width="19.453125" bestFit="1" customWidth="1"/>
    <col min="7" max="7" width="22.54296875" bestFit="1" customWidth="1"/>
    <col min="8" max="8" width="19.81640625" style="158" customWidth="1"/>
    <col min="9" max="9" width="21.08984375" customWidth="1"/>
    <col min="10" max="10" width="14.26953125" style="159" customWidth="1"/>
    <col min="11" max="11" width="4.26953125" style="159" customWidth="1"/>
    <col min="12" max="12" width="13.81640625" style="72" customWidth="1"/>
    <col min="13" max="13" width="22.81640625" style="72" customWidth="1"/>
    <col min="14" max="24" width="4.7265625" style="73" customWidth="1"/>
    <col min="25" max="32" width="4.7265625" style="74" customWidth="1"/>
    <col min="33" max="33" width="14.26953125" style="74" customWidth="1"/>
    <col min="34" max="34" width="17.81640625" style="74" bestFit="1" customWidth="1"/>
    <col min="35" max="35" width="18.26953125" style="74" bestFit="1" customWidth="1"/>
    <col min="36" max="36" width="50.1796875" style="74" bestFit="1" customWidth="1"/>
    <col min="37" max="37" width="16.81640625" style="74" bestFit="1" customWidth="1"/>
    <col min="38" max="38" width="17.7265625" style="74" bestFit="1" customWidth="1"/>
    <col min="39" max="39" width="17.26953125" style="74" customWidth="1"/>
    <col min="40" max="40" width="16.7265625" style="74" customWidth="1"/>
    <col min="41" max="41" width="16.54296875" style="74" customWidth="1"/>
    <col min="42" max="42" width="9.26953125" style="74"/>
    <col min="43" max="44" width="9.26953125" style="74" customWidth="1"/>
    <col min="45" max="48" width="9.26953125" style="74"/>
  </cols>
  <sheetData>
    <row r="1" spans="2:35" x14ac:dyDescent="0.35">
      <c r="B1" s="14"/>
      <c r="C1" s="14"/>
      <c r="D1" s="14"/>
      <c r="E1" s="14"/>
      <c r="F1" s="14"/>
      <c r="G1" s="14"/>
      <c r="H1" s="71"/>
      <c r="I1" s="14"/>
      <c r="J1" s="72"/>
      <c r="K1" s="72"/>
    </row>
    <row r="2" spans="2:35" ht="15" customHeight="1" x14ac:dyDescent="0.35">
      <c r="B2" s="218" t="s">
        <v>44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75"/>
      <c r="W2" s="75"/>
      <c r="X2" s="75"/>
      <c r="Y2" s="76"/>
      <c r="Z2" s="76"/>
      <c r="AA2" s="76"/>
      <c r="AB2" s="76"/>
      <c r="AC2" s="76"/>
      <c r="AD2" s="76"/>
      <c r="AE2" s="76"/>
      <c r="AF2" s="76"/>
    </row>
    <row r="3" spans="2:35" ht="25.5" customHeight="1" x14ac:dyDescent="0.35"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75"/>
      <c r="W3" s="75"/>
      <c r="X3" s="77"/>
      <c r="Y3" s="78"/>
      <c r="Z3" s="76"/>
      <c r="AA3" s="76"/>
      <c r="AB3" s="76"/>
      <c r="AC3" s="76"/>
      <c r="AD3" s="76"/>
      <c r="AE3" s="76"/>
      <c r="AF3" s="76"/>
    </row>
    <row r="4" spans="2:35" x14ac:dyDescent="0.35">
      <c r="B4" s="14"/>
      <c r="C4" s="14"/>
      <c r="D4" s="14"/>
      <c r="E4" s="14"/>
      <c r="F4" s="14"/>
      <c r="G4" s="14"/>
      <c r="H4" s="71"/>
      <c r="I4" s="14"/>
      <c r="J4" s="72"/>
      <c r="K4" s="72"/>
      <c r="X4" s="14"/>
      <c r="Y4"/>
    </row>
    <row r="5" spans="2:35" x14ac:dyDescent="0.35">
      <c r="B5" s="79" t="s">
        <v>16</v>
      </c>
      <c r="C5" s="80" t="str">
        <f>IF('Informations générales'!B4="","",      'Informations générales'!B4)</f>
        <v/>
      </c>
      <c r="D5" s="14"/>
      <c r="E5" s="14"/>
      <c r="F5" s="14"/>
      <c r="G5" s="14"/>
      <c r="H5" s="81" t="s">
        <v>45</v>
      </c>
      <c r="I5" s="39" t="str">
        <f>IF('Plan plaque - Saisie lectures'!N5=0,      "",  'Plan plaque - Saisie lectures'!N5)</f>
        <v/>
      </c>
      <c r="J5" s="72"/>
      <c r="K5" s="72"/>
      <c r="X5" s="14"/>
      <c r="Y5"/>
    </row>
    <row r="6" spans="2:35" x14ac:dyDescent="0.35">
      <c r="B6" s="79" t="s">
        <v>46</v>
      </c>
      <c r="C6" s="82" t="str">
        <f>IF('Informations générales'!B5="","",       'Informations générales'!B5)</f>
        <v/>
      </c>
      <c r="D6" s="14"/>
      <c r="E6" s="14"/>
      <c r="F6" s="14"/>
      <c r="G6" s="14"/>
      <c r="H6" s="81" t="s">
        <v>47</v>
      </c>
      <c r="I6" s="39" t="str">
        <f>IF('Plan plaque - Saisie lectures'!N6=0,      "",  'Plan plaque - Saisie lectures'!N6)</f>
        <v/>
      </c>
      <c r="J6" s="72"/>
      <c r="K6" s="72"/>
      <c r="X6" s="14"/>
      <c r="Y6"/>
    </row>
    <row r="7" spans="2:35" x14ac:dyDescent="0.35">
      <c r="B7" s="79" t="s">
        <v>3</v>
      </c>
      <c r="C7" s="80" t="str">
        <f>IF('Informations générales'!B6="","",      'Informations générales'!B6)</f>
        <v/>
      </c>
      <c r="D7" s="14"/>
      <c r="E7" s="14"/>
      <c r="F7" s="14"/>
      <c r="G7" s="14"/>
      <c r="H7" s="71"/>
      <c r="I7" s="14"/>
      <c r="J7" s="72"/>
      <c r="K7" s="72"/>
      <c r="X7" s="14"/>
      <c r="Y7"/>
    </row>
    <row r="8" spans="2:35" ht="23.5" x14ac:dyDescent="0.55000000000000004">
      <c r="B8" s="221" t="s">
        <v>48</v>
      </c>
      <c r="C8" s="221"/>
      <c r="D8" s="221"/>
      <c r="E8" s="221"/>
      <c r="F8" s="221"/>
      <c r="G8" s="221"/>
      <c r="H8" s="221"/>
      <c r="I8" s="221"/>
      <c r="J8" s="221"/>
      <c r="K8" s="72"/>
      <c r="X8" s="14"/>
      <c r="Y8"/>
    </row>
    <row r="9" spans="2:35" x14ac:dyDescent="0.35">
      <c r="B9" s="79"/>
      <c r="C9" s="80"/>
      <c r="D9" s="14"/>
      <c r="E9" s="14"/>
      <c r="F9" s="14"/>
      <c r="G9" s="14"/>
      <c r="H9" s="71"/>
      <c r="I9" s="14"/>
      <c r="J9" s="72"/>
      <c r="K9" s="72"/>
      <c r="X9" s="14"/>
      <c r="Y9"/>
    </row>
    <row r="10" spans="2:35" ht="15" thickBot="1" x14ac:dyDescent="0.4">
      <c r="B10" s="14"/>
      <c r="C10" s="14"/>
      <c r="D10" s="14"/>
      <c r="E10" s="14"/>
      <c r="F10" s="14"/>
      <c r="G10" s="14"/>
      <c r="H10" s="71"/>
      <c r="I10" s="14"/>
      <c r="J10" s="72"/>
      <c r="K10" s="72"/>
      <c r="X10" s="14"/>
      <c r="Y10"/>
    </row>
    <row r="11" spans="2:35" ht="35.25" customHeight="1" thickBot="1" x14ac:dyDescent="0.4">
      <c r="B11" s="230" t="s">
        <v>49</v>
      </c>
      <c r="C11" s="231"/>
      <c r="D11" s="232"/>
      <c r="E11" s="233"/>
      <c r="F11" s="14"/>
      <c r="G11" s="220" t="s">
        <v>50</v>
      </c>
      <c r="H11" s="220"/>
      <c r="I11" s="73"/>
      <c r="J11" s="83"/>
      <c r="K11" s="73"/>
      <c r="L11" s="220" t="s">
        <v>51</v>
      </c>
      <c r="M11" s="220"/>
      <c r="N11" s="220"/>
      <c r="O11" s="220"/>
      <c r="P11" s="220"/>
      <c r="Q11" s="220"/>
      <c r="R11" s="220"/>
      <c r="S11" s="220"/>
      <c r="T11" s="220"/>
      <c r="U11" s="220"/>
      <c r="X11" s="14"/>
      <c r="Y11"/>
      <c r="AI11" s="74" t="e">
        <f>E26/E12</f>
        <v>#VALUE!</v>
      </c>
    </row>
    <row r="12" spans="2:35" ht="15.75" customHeight="1" thickBot="1" x14ac:dyDescent="0.4">
      <c r="B12" s="234" t="s">
        <v>52</v>
      </c>
      <c r="C12" s="235"/>
      <c r="D12" s="84" t="s">
        <v>53</v>
      </c>
      <c r="E12" s="85">
        <f>IF(ISERR(AO20),"", AO20)</f>
        <v>0</v>
      </c>
      <c r="F12" s="39"/>
      <c r="G12" s="86" t="s">
        <v>54</v>
      </c>
      <c r="H12" s="87" t="str">
        <f>IF(SUM(C21:D26)=0,"",   ((-$E$30)+(SQRT($E$30^2-(4*$E$29*($E$31-AO23)))))/(2*$E$29))</f>
        <v/>
      </c>
      <c r="I12" s="88" t="s">
        <v>55</v>
      </c>
      <c r="J12" s="83"/>
      <c r="K12" s="73"/>
      <c r="L12" s="73" t="s">
        <v>54</v>
      </c>
      <c r="M12" s="87" t="str">
        <f>IF(SUM(C21:D26)=0,"",   ((-$F$30)+(SQRT($F$30^2-(4*$F$29*($F$31-AT23)))))/(2*$F$29))</f>
        <v/>
      </c>
      <c r="X12" s="14"/>
      <c r="Y12"/>
    </row>
    <row r="13" spans="2:35" x14ac:dyDescent="0.35">
      <c r="B13" s="236" t="str">
        <f>IF(AM20=0,"", AM20)</f>
        <v/>
      </c>
      <c r="C13" s="239" t="str">
        <f>IF(AM21=0,"", AM21)</f>
        <v/>
      </c>
      <c r="D13" s="89" t="s">
        <v>56</v>
      </c>
      <c r="E13" s="90">
        <f>IF(ISERR(AO21),"", AO21)</f>
        <v>0</v>
      </c>
      <c r="F13" s="39"/>
      <c r="G13" s="86" t="s">
        <v>57</v>
      </c>
      <c r="H13" s="91" t="str">
        <f>IF(SUM(C21:D26)=0,"", 15)</f>
        <v/>
      </c>
      <c r="I13" s="88" t="s">
        <v>58</v>
      </c>
      <c r="J13" s="73"/>
      <c r="K13" s="73"/>
      <c r="L13" s="73" t="s">
        <v>57</v>
      </c>
      <c r="M13" s="91" t="str">
        <f>IF(SUM(C21:D26)=0,"", 6.25)</f>
        <v/>
      </c>
      <c r="X13" s="14"/>
      <c r="Y13"/>
    </row>
    <row r="14" spans="2:35" x14ac:dyDescent="0.35">
      <c r="B14" s="237"/>
      <c r="C14" s="240"/>
      <c r="D14" s="162" t="s">
        <v>59</v>
      </c>
      <c r="E14" s="163">
        <f>IF(ISERR(AO22),"", AO22)</f>
        <v>0</v>
      </c>
      <c r="F14" s="39"/>
      <c r="G14" s="86" t="s">
        <v>60</v>
      </c>
      <c r="H14" s="91" t="str">
        <f>IF(SUM(C21:D26)=0,"", MAX(C21:D26) + 0.2)</f>
        <v/>
      </c>
      <c r="I14" s="88" t="s">
        <v>61</v>
      </c>
      <c r="J14" s="83"/>
      <c r="K14" s="73"/>
      <c r="L14" s="73" t="s">
        <v>60</v>
      </c>
      <c r="M14" s="91" t="e">
        <f>IF(SUM(C21:D26)=0,"", MAX(C21:D26) + 0.2)*F20</f>
        <v>#VALUE!</v>
      </c>
      <c r="X14" s="14"/>
      <c r="Y14"/>
    </row>
    <row r="15" spans="2:35" ht="15" thickBot="1" x14ac:dyDescent="0.4">
      <c r="B15" s="238"/>
      <c r="C15" s="238"/>
      <c r="D15" s="164" t="s">
        <v>137</v>
      </c>
      <c r="E15" s="165" t="str">
        <f>IF(E12&lt;=0.025,"conforme","non conforme")</f>
        <v>conforme</v>
      </c>
      <c r="F15" s="39"/>
      <c r="G15" s="83"/>
      <c r="H15" s="83"/>
      <c r="I15" s="73"/>
      <c r="J15" s="73"/>
      <c r="K15" s="73"/>
      <c r="L15" s="73"/>
      <c r="M15" s="73"/>
      <c r="X15" s="14"/>
      <c r="Y15"/>
    </row>
    <row r="16" spans="2:35" x14ac:dyDescent="0.35">
      <c r="B16" s="92"/>
      <c r="C16" s="92"/>
      <c r="D16" s="14"/>
      <c r="E16" s="14"/>
      <c r="F16" s="39"/>
      <c r="G16" s="39"/>
      <c r="H16" s="39"/>
      <c r="I16" s="14"/>
      <c r="J16" s="72"/>
      <c r="K16" s="72"/>
      <c r="X16" s="14"/>
      <c r="Y16"/>
    </row>
    <row r="17" spans="2:41" x14ac:dyDescent="0.35">
      <c r="B17" s="92"/>
      <c r="C17" s="92"/>
      <c r="D17" s="14"/>
      <c r="E17" s="14"/>
      <c r="F17" s="39"/>
      <c r="G17" s="39"/>
      <c r="H17" s="39"/>
      <c r="I17" s="14"/>
      <c r="J17" s="72"/>
      <c r="K17" s="72"/>
      <c r="X17" s="14"/>
      <c r="Y17"/>
    </row>
    <row r="18" spans="2:41" ht="15" thickBot="1" x14ac:dyDescent="0.4">
      <c r="B18" s="93"/>
      <c r="C18" s="93"/>
      <c r="D18" s="14"/>
      <c r="E18" s="14"/>
      <c r="F18" s="39"/>
      <c r="G18" s="14"/>
      <c r="H18" s="71"/>
      <c r="I18" s="14"/>
      <c r="J18" s="72"/>
      <c r="K18" s="72"/>
      <c r="X18" s="14"/>
      <c r="Y18"/>
    </row>
    <row r="19" spans="2:41" ht="32" customHeight="1" thickBot="1" x14ac:dyDescent="0.4">
      <c r="B19" s="222" t="s">
        <v>62</v>
      </c>
      <c r="C19" s="223"/>
      <c r="D19" s="223"/>
      <c r="E19" s="224"/>
      <c r="F19" s="175" t="s">
        <v>144</v>
      </c>
      <c r="G19" s="14" t="s">
        <v>141</v>
      </c>
      <c r="H19" s="71"/>
      <c r="I19" s="14"/>
      <c r="J19" s="94"/>
      <c r="K19" s="94"/>
      <c r="X19" s="14"/>
      <c r="Y19"/>
      <c r="AI19" s="74" t="s">
        <v>63</v>
      </c>
      <c r="AJ19" s="74" t="s">
        <v>64</v>
      </c>
      <c r="AL19" s="74" t="s">
        <v>65</v>
      </c>
      <c r="AM19" s="74" t="s">
        <v>66</v>
      </c>
    </row>
    <row r="20" spans="2:41" ht="15" thickBot="1" x14ac:dyDescent="0.4">
      <c r="B20" s="95" t="s">
        <v>67</v>
      </c>
      <c r="C20" s="96" t="s">
        <v>68</v>
      </c>
      <c r="D20" s="97" t="s">
        <v>69</v>
      </c>
      <c r="E20" s="170" t="s">
        <v>70</v>
      </c>
      <c r="F20" s="176"/>
      <c r="G20" s="14" t="s">
        <v>123</v>
      </c>
      <c r="H20" s="14"/>
      <c r="I20" s="14"/>
      <c r="J20" s="98"/>
      <c r="K20" s="98"/>
      <c r="L20" s="99"/>
      <c r="M20" s="99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1"/>
      <c r="Y20" s="102"/>
      <c r="Z20" s="103"/>
      <c r="AA20" s="103"/>
      <c r="AB20" s="103"/>
      <c r="AC20" s="103"/>
      <c r="AD20" s="103"/>
      <c r="AE20" s="103"/>
      <c r="AF20" s="103"/>
      <c r="AG20" s="74" t="s">
        <v>129</v>
      </c>
      <c r="AH20" s="74">
        <f>IF(E21&gt;SATURATION,0,B21)</f>
        <v>0</v>
      </c>
      <c r="AI20" s="74">
        <f>'Plan plaque - Saisie lectures'!$C37</f>
        <v>0</v>
      </c>
      <c r="AJ20" s="74">
        <f>'Plan plaque - Saisie lectures'!$D37</f>
        <v>0</v>
      </c>
      <c r="AK20" s="74">
        <f>IF(E21&gt;SATURATION,NSB,E21)</f>
        <v>0</v>
      </c>
      <c r="AL20" s="104" t="e">
        <f>+F21</f>
        <v>#VALUE!</v>
      </c>
      <c r="AM20" s="74">
        <f>'Plan plaque - Saisie lectures'!C43</f>
        <v>0</v>
      </c>
      <c r="AN20" s="105" t="s">
        <v>53</v>
      </c>
      <c r="AO20" s="106">
        <f>AVERAGE(AM20:AM21)</f>
        <v>0</v>
      </c>
    </row>
    <row r="21" spans="2:41" x14ac:dyDescent="0.35">
      <c r="B21" s="107">
        <v>200</v>
      </c>
      <c r="C21" s="108" t="str">
        <f>IF(AI20=0,      "",  AI20)</f>
        <v/>
      </c>
      <c r="D21" s="109" t="str">
        <f>IF(AJ20=0,      "",  AJ20)</f>
        <v/>
      </c>
      <c r="E21" s="171" t="str">
        <f>IF(      AND(ISTEXT(C21),ISTEXT(D21)), "ABSENT",       AVERAGE(C21:D21)     )</f>
        <v>ABSENT</v>
      </c>
      <c r="F21" s="112" t="e">
        <f t="shared" ref="F21:F26" si="0">+E21*$F$20</f>
        <v>#VALUE!</v>
      </c>
      <c r="G21" s="66" t="s">
        <v>124</v>
      </c>
      <c r="H21" s="14"/>
      <c r="I21" s="14"/>
      <c r="J21" s="98"/>
      <c r="K21" s="98"/>
      <c r="L21" s="99"/>
      <c r="M21" s="9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  <c r="Y21" s="102"/>
      <c r="Z21" s="103"/>
      <c r="AA21" s="103"/>
      <c r="AB21" s="103"/>
      <c r="AC21" s="103"/>
      <c r="AD21" s="103"/>
      <c r="AE21" s="103"/>
      <c r="AF21" s="103"/>
      <c r="AG21" s="74" t="s">
        <v>130</v>
      </c>
      <c r="AH21" s="74">
        <f t="shared" ref="AH21:AH25" si="1">IF(E22&gt;SATURATION,0,B22)</f>
        <v>0</v>
      </c>
      <c r="AI21" s="74">
        <f>'Plan plaque - Saisie lectures'!$C38</f>
        <v>0</v>
      </c>
      <c r="AJ21" s="74">
        <f>'Plan plaque - Saisie lectures'!$D38</f>
        <v>0</v>
      </c>
      <c r="AK21" s="74">
        <f>IF(E22&gt;SATURATION,NSB,E22)</f>
        <v>0</v>
      </c>
      <c r="AL21" s="104" t="e">
        <f t="shared" ref="AL21:AL25" si="2">+F22</f>
        <v>#VALUE!</v>
      </c>
      <c r="AM21" s="74">
        <f>'Plan plaque - Saisie lectures'!D43</f>
        <v>0</v>
      </c>
      <c r="AN21" s="74" t="s">
        <v>56</v>
      </c>
      <c r="AO21" s="106">
        <f>STDEV(AM20:AM21)</f>
        <v>0</v>
      </c>
    </row>
    <row r="22" spans="2:41" x14ac:dyDescent="0.35">
      <c r="B22" s="111">
        <v>100</v>
      </c>
      <c r="C22" s="108" t="str">
        <f t="shared" ref="C22:C25" si="3">IF(AI21=0,      "",  AI21)</f>
        <v/>
      </c>
      <c r="D22" s="109" t="str">
        <f t="shared" ref="D22:D25" si="4">IF(AJ21=0,      "",  AJ21)</f>
        <v/>
      </c>
      <c r="E22" s="171" t="str">
        <f>IF(      AND(ISTEXT(C22),ISTEXT(D22)), "ABSENT",       AVERAGE(C22:D22)     )</f>
        <v>ABSENT</v>
      </c>
      <c r="F22" s="112" t="e">
        <f t="shared" si="0"/>
        <v>#VALUE!</v>
      </c>
      <c r="H22" s="14"/>
      <c r="I22" s="14"/>
      <c r="J22" s="98"/>
      <c r="K22" s="98"/>
      <c r="L22" s="99"/>
      <c r="M22" s="9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1"/>
      <c r="Y22" s="102"/>
      <c r="Z22" s="103"/>
      <c r="AA22" s="103"/>
      <c r="AB22" s="103"/>
      <c r="AC22" s="103"/>
      <c r="AD22" s="103"/>
      <c r="AE22" s="103"/>
      <c r="AF22" s="103"/>
      <c r="AG22" s="74" t="s">
        <v>131</v>
      </c>
      <c r="AH22" s="74">
        <f t="shared" si="1"/>
        <v>0</v>
      </c>
      <c r="AI22" s="74">
        <f>'Plan plaque - Saisie lectures'!$C39</f>
        <v>0</v>
      </c>
      <c r="AJ22" s="74">
        <f>'Plan plaque - Saisie lectures'!$D39</f>
        <v>0</v>
      </c>
      <c r="AK22" s="74">
        <f t="shared" ref="AK22:AK24" si="5">IF(E23&gt;SATURATION,NSB,E23)</f>
        <v>0</v>
      </c>
      <c r="AL22" s="104" t="e">
        <f t="shared" si="2"/>
        <v>#VALUE!</v>
      </c>
      <c r="AN22" s="74" t="s">
        <v>59</v>
      </c>
      <c r="AO22" s="106">
        <f>AO20+3*AO21</f>
        <v>0</v>
      </c>
    </row>
    <row r="23" spans="2:41" x14ac:dyDescent="0.35">
      <c r="B23" s="111">
        <v>50</v>
      </c>
      <c r="C23" s="108" t="str">
        <f t="shared" si="3"/>
        <v/>
      </c>
      <c r="D23" s="109" t="str">
        <f t="shared" si="4"/>
        <v/>
      </c>
      <c r="E23" s="171" t="str">
        <f t="shared" ref="E23:E26" si="6">IF(      AND(ISTEXT(C23),ISTEXT(D23)), "ABSENT",       AVERAGE(C23:D23)     )</f>
        <v>ABSENT</v>
      </c>
      <c r="F23" s="112" t="e">
        <f t="shared" si="0"/>
        <v>#VALUE!</v>
      </c>
      <c r="G23" s="173" t="s">
        <v>145</v>
      </c>
      <c r="H23" s="14"/>
      <c r="I23" s="14"/>
      <c r="J23" s="98"/>
      <c r="K23" s="98"/>
      <c r="L23" s="99"/>
      <c r="M23" s="9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1"/>
      <c r="Y23" s="102"/>
      <c r="Z23" s="103"/>
      <c r="AA23" s="103"/>
      <c r="AB23" s="103"/>
      <c r="AC23" s="103"/>
      <c r="AD23" s="103"/>
      <c r="AE23" s="103"/>
      <c r="AF23" s="103"/>
      <c r="AG23" s="74" t="s">
        <v>132</v>
      </c>
      <c r="AH23" s="74">
        <f t="shared" si="1"/>
        <v>0</v>
      </c>
      <c r="AI23" s="74">
        <f>'Plan plaque - Saisie lectures'!$C40</f>
        <v>0</v>
      </c>
      <c r="AJ23" s="74">
        <f>'Plan plaque - Saisie lectures'!$D40</f>
        <v>0</v>
      </c>
      <c r="AK23" s="74">
        <f t="shared" si="5"/>
        <v>0</v>
      </c>
      <c r="AL23" s="104" t="e">
        <f t="shared" si="2"/>
        <v>#VALUE!</v>
      </c>
      <c r="AN23" s="74" t="s">
        <v>71</v>
      </c>
      <c r="AO23" s="106">
        <f>AO20+10*AO21</f>
        <v>0</v>
      </c>
    </row>
    <row r="24" spans="2:41" x14ac:dyDescent="0.35">
      <c r="B24" s="111">
        <v>25</v>
      </c>
      <c r="C24" s="108" t="str">
        <f t="shared" si="3"/>
        <v/>
      </c>
      <c r="D24" s="109" t="str">
        <f t="shared" si="4"/>
        <v/>
      </c>
      <c r="E24" s="171" t="str">
        <f t="shared" si="6"/>
        <v>ABSENT</v>
      </c>
      <c r="F24" s="112" t="e">
        <f t="shared" si="0"/>
        <v>#VALUE!</v>
      </c>
      <c r="G24" s="174" t="str">
        <f>IF(E21&gt;=1.3,"conforme","non conforme")</f>
        <v>conforme</v>
      </c>
      <c r="H24" s="14"/>
      <c r="I24" s="14"/>
      <c r="J24" s="98"/>
      <c r="K24" s="98"/>
      <c r="L24" s="99"/>
      <c r="M24" s="99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1"/>
      <c r="Y24" s="102"/>
      <c r="Z24" s="103"/>
      <c r="AA24" s="103"/>
      <c r="AB24" s="103"/>
      <c r="AC24" s="103"/>
      <c r="AD24" s="103"/>
      <c r="AE24" s="103"/>
      <c r="AF24" s="103"/>
      <c r="AG24" s="74" t="s">
        <v>133</v>
      </c>
      <c r="AH24" s="74">
        <f t="shared" si="1"/>
        <v>0</v>
      </c>
      <c r="AI24" s="74">
        <f>'Plan plaque - Saisie lectures'!$C41</f>
        <v>0</v>
      </c>
      <c r="AJ24" s="74">
        <f>'Plan plaque - Saisie lectures'!$D41</f>
        <v>0</v>
      </c>
      <c r="AK24" s="74">
        <f t="shared" si="5"/>
        <v>0</v>
      </c>
      <c r="AL24" s="104" t="e">
        <f t="shared" si="2"/>
        <v>#VALUE!</v>
      </c>
    </row>
    <row r="25" spans="2:41" x14ac:dyDescent="0.35">
      <c r="B25" s="111">
        <v>12.5</v>
      </c>
      <c r="C25" s="108" t="str">
        <f t="shared" si="3"/>
        <v/>
      </c>
      <c r="D25" s="109" t="str">
        <f t="shared" si="4"/>
        <v/>
      </c>
      <c r="E25" s="171" t="str">
        <f t="shared" si="6"/>
        <v>ABSENT</v>
      </c>
      <c r="F25" s="112" t="e">
        <f t="shared" si="0"/>
        <v>#VALUE!</v>
      </c>
      <c r="G25" s="39"/>
      <c r="H25"/>
      <c r="I25" s="14"/>
      <c r="J25" s="98"/>
      <c r="K25" s="98"/>
      <c r="L25" s="99"/>
      <c r="M25" s="99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1"/>
      <c r="Y25" s="102"/>
      <c r="Z25" s="103"/>
      <c r="AA25" s="103"/>
      <c r="AB25" s="103"/>
      <c r="AC25" s="103"/>
      <c r="AD25" s="103"/>
      <c r="AE25" s="103"/>
      <c r="AF25" s="103"/>
      <c r="AG25" s="74" t="s">
        <v>134</v>
      </c>
      <c r="AH25" s="74">
        <f t="shared" si="1"/>
        <v>0</v>
      </c>
      <c r="AI25" s="74">
        <f>'Plan plaque - Saisie lectures'!$C42</f>
        <v>0</v>
      </c>
      <c r="AJ25" s="74">
        <f>'Plan plaque - Saisie lectures'!$D42</f>
        <v>0</v>
      </c>
      <c r="AK25" s="74">
        <f>IF(E26&gt;SATURATION,NSB,E26)</f>
        <v>0</v>
      </c>
      <c r="AL25" s="104" t="e">
        <f t="shared" si="2"/>
        <v>#VALUE!</v>
      </c>
    </row>
    <row r="26" spans="2:41" ht="15" thickBot="1" x14ac:dyDescent="0.4">
      <c r="B26" s="113">
        <v>6.25</v>
      </c>
      <c r="C26" s="114" t="str">
        <f t="shared" ref="C26" si="7">IF(AI25=0,      "",  AI25)</f>
        <v/>
      </c>
      <c r="D26" s="115" t="str">
        <f t="shared" ref="D26" si="8">IF(AJ25=0,      "",  AJ25)</f>
        <v/>
      </c>
      <c r="E26" s="172" t="str">
        <f t="shared" si="6"/>
        <v>ABSENT</v>
      </c>
      <c r="F26" s="116" t="e">
        <f t="shared" si="0"/>
        <v>#VALUE!</v>
      </c>
      <c r="G26" s="173" t="s">
        <v>147</v>
      </c>
      <c r="H26" s="14"/>
      <c r="I26" s="14"/>
      <c r="J26" s="98"/>
      <c r="K26" s="98"/>
      <c r="L26" s="99"/>
      <c r="M26" s="99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  <c r="Y26" s="102"/>
      <c r="Z26" s="103"/>
      <c r="AA26" s="103"/>
      <c r="AB26" s="103"/>
      <c r="AC26" s="103"/>
      <c r="AD26" s="103"/>
      <c r="AE26" s="103"/>
      <c r="AF26" s="103"/>
      <c r="AG26" s="74" t="s">
        <v>135</v>
      </c>
      <c r="AH26" s="74">
        <v>0</v>
      </c>
      <c r="AK26" s="74">
        <f>NSB</f>
        <v>0</v>
      </c>
      <c r="AL26" s="104"/>
    </row>
    <row r="27" spans="2:41" ht="15" thickBot="1" x14ac:dyDescent="0.4">
      <c r="B27" s="54"/>
      <c r="C27" s="117"/>
      <c r="D27" s="118"/>
      <c r="E27" s="119"/>
      <c r="F27" s="93"/>
      <c r="G27" s="174" t="e">
        <f>IF(AI11&gt;=6,"conforme","non conforme")</f>
        <v>#VALUE!</v>
      </c>
      <c r="H27" s="71"/>
      <c r="I27" s="14"/>
      <c r="J27" s="98"/>
      <c r="K27" s="98"/>
      <c r="X27" s="14"/>
      <c r="Y27"/>
    </row>
    <row r="28" spans="2:41" ht="18" thickBot="1" x14ac:dyDescent="0.4">
      <c r="B28" s="227" t="s">
        <v>72</v>
      </c>
      <c r="C28" s="228"/>
      <c r="D28" s="228"/>
      <c r="E28" s="229"/>
      <c r="F28" s="39"/>
      <c r="G28" s="39"/>
      <c r="H28" s="71"/>
      <c r="I28" s="14"/>
      <c r="J28" s="98"/>
      <c r="K28" s="98"/>
      <c r="X28" s="14"/>
      <c r="Y28"/>
    </row>
    <row r="29" spans="2:41" x14ac:dyDescent="0.35">
      <c r="B29" s="120"/>
      <c r="C29" s="14"/>
      <c r="D29" s="121" t="s">
        <v>25</v>
      </c>
      <c r="E29" s="122" cm="1">
        <f t="array" ref="E29">INDEX(LINEST($AK$20:$AK$26,$AH$20:$AH$26^{1,2}),1,1)</f>
        <v>0</v>
      </c>
      <c r="F29" s="123" t="e" cm="1">
        <f t="array" ref="F29">INDEX(LINEST($AL$20:$AL$25,$AH$20:$AH$25^{1,2}),1,1)</f>
        <v>#VALUE!</v>
      </c>
      <c r="G29" s="39"/>
      <c r="H29" s="71"/>
      <c r="I29" s="14"/>
      <c r="J29" s="72"/>
      <c r="K29" s="72"/>
      <c r="X29" s="14"/>
      <c r="Y29"/>
    </row>
    <row r="30" spans="2:41" x14ac:dyDescent="0.35">
      <c r="B30" s="120"/>
      <c r="C30" s="14"/>
      <c r="D30" s="124" t="s">
        <v>27</v>
      </c>
      <c r="E30" s="122">
        <f>INDEX(LINEST($AK$20:$AK$26,$AH$20:$AH$26^{1,2}),1,2)</f>
        <v>0</v>
      </c>
      <c r="F30" s="125" t="e" cm="1">
        <f t="array" ref="F30">INDEX(LINEST($AL$20:$AL$25,$AH$20:$AH$25^{1,2}),1,2)</f>
        <v>#VALUE!</v>
      </c>
      <c r="G30" s="39"/>
      <c r="H30" s="71"/>
      <c r="I30" s="14"/>
      <c r="J30" s="72"/>
      <c r="K30" s="72"/>
      <c r="X30" s="14"/>
      <c r="Y30"/>
    </row>
    <row r="31" spans="2:41" x14ac:dyDescent="0.35">
      <c r="B31" s="120"/>
      <c r="C31" s="14"/>
      <c r="D31" s="124" t="s">
        <v>29</v>
      </c>
      <c r="E31" s="122">
        <f>INDEX(LINEST($AK$20:$AK$26,$AH$20:$AH$26^{1,2}),1,3)</f>
        <v>0</v>
      </c>
      <c r="F31" s="166" t="e" cm="1">
        <f t="array" ref="F31">INDEX(LINEST($AL$20:$AL$25,$AH$20:$AH$25^{1,2}),1,3)</f>
        <v>#VALUE!</v>
      </c>
      <c r="G31" s="168" t="s">
        <v>138</v>
      </c>
      <c r="H31" s="71"/>
      <c r="I31" s="14"/>
      <c r="J31" s="72"/>
      <c r="K31" s="72"/>
      <c r="X31" s="14"/>
      <c r="Y31"/>
      <c r="AM31" s="126"/>
    </row>
    <row r="32" spans="2:41" ht="15" thickBot="1" x14ac:dyDescent="0.4">
      <c r="B32" s="225" t="s">
        <v>73</v>
      </c>
      <c r="C32" s="226"/>
      <c r="D32" s="127" t="s">
        <v>74</v>
      </c>
      <c r="E32" s="67">
        <f>INDEX(LINEST($AK$20:$AK$26,$AH$20:$AH$26^{1,2},TRUE,TRUE),3,1)</f>
        <v>1</v>
      </c>
      <c r="F32" s="167" t="e" cm="1">
        <f t="array" ref="F32">INDEX(LINEST($AL$20:$AL$25,$AH$20:$AH$25^{1,2},TRUE,TRUE),3,1)</f>
        <v>#VALUE!</v>
      </c>
      <c r="G32" s="161" t="e">
        <f>IF(F32&gt;=0.99,"conforme","non conforme")</f>
        <v>#VALUE!</v>
      </c>
      <c r="H32" s="71"/>
      <c r="I32" s="14"/>
      <c r="J32" s="72"/>
      <c r="K32" s="72"/>
      <c r="X32" s="14"/>
      <c r="Y32"/>
    </row>
    <row r="33" spans="2:49" x14ac:dyDescent="0.35">
      <c r="B33" s="39"/>
      <c r="C33" s="39"/>
      <c r="D33" s="128"/>
      <c r="E33" s="68"/>
      <c r="F33" s="39"/>
      <c r="G33" s="39"/>
      <c r="H33" s="71"/>
      <c r="I33" s="14"/>
      <c r="J33" s="72"/>
      <c r="K33" s="72"/>
      <c r="X33" s="14"/>
      <c r="Y33"/>
    </row>
    <row r="34" spans="2:49" ht="15" thickBot="1" x14ac:dyDescent="0.4">
      <c r="B34" s="39"/>
      <c r="C34" s="39"/>
      <c r="D34" s="128"/>
      <c r="E34" s="68"/>
      <c r="F34" s="39"/>
      <c r="G34" s="39"/>
      <c r="H34" s="71"/>
      <c r="I34" s="14"/>
      <c r="J34" s="72"/>
      <c r="K34" s="72"/>
      <c r="X34" s="14"/>
      <c r="Y34"/>
    </row>
    <row r="35" spans="2:49" ht="16" thickBot="1" x14ac:dyDescent="0.4">
      <c r="B35" s="207" t="s">
        <v>37</v>
      </c>
      <c r="C35" s="208"/>
      <c r="D35" s="208"/>
      <c r="E35" s="208"/>
      <c r="F35" s="208"/>
      <c r="G35" s="209"/>
      <c r="H35" s="71"/>
      <c r="I35" s="14"/>
      <c r="J35" s="72"/>
      <c r="K35" s="72"/>
      <c r="X35" s="14"/>
      <c r="Y35"/>
    </row>
    <row r="36" spans="2:49" ht="29.5" thickBot="1" x14ac:dyDescent="0.4">
      <c r="B36" s="129" t="s">
        <v>75</v>
      </c>
      <c r="C36" s="130" t="s">
        <v>68</v>
      </c>
      <c r="D36" s="131" t="s">
        <v>69</v>
      </c>
      <c r="E36" s="129" t="s">
        <v>70</v>
      </c>
      <c r="F36" s="132" t="s">
        <v>76</v>
      </c>
      <c r="G36" s="132" t="s">
        <v>77</v>
      </c>
      <c r="H36" s="71"/>
      <c r="I36" s="14"/>
      <c r="J36" s="72"/>
      <c r="K36" s="72"/>
      <c r="X36" s="14"/>
      <c r="Y36"/>
    </row>
    <row r="37" spans="2:49" ht="29.5" customHeight="1" thickBot="1" x14ac:dyDescent="0.4">
      <c r="B37" s="107">
        <v>30</v>
      </c>
      <c r="C37" s="108" t="str">
        <f>IF(AI45=0,      "",  AI45)</f>
        <v/>
      </c>
      <c r="D37" s="109" t="str">
        <f>IF(AJ45=0,      "",  AJ45)</f>
        <v/>
      </c>
      <c r="E37" s="110" t="str">
        <f>IF(      AND(ISTEXT(C37),ISTEXT(D37)), "ABSENT",       AVERAGE(C37:D37)     )</f>
        <v>ABSENT</v>
      </c>
      <c r="F37" s="133" t="str">
        <f>IF(E37="","",IF(E37&lt;&gt;"",AK45))</f>
        <v/>
      </c>
      <c r="G37" s="169" t="e">
        <f>F37/B37</f>
        <v>#VALUE!</v>
      </c>
      <c r="H37" s="210" t="s">
        <v>146</v>
      </c>
      <c r="I37" s="211"/>
      <c r="J37" s="72"/>
      <c r="K37" s="72"/>
      <c r="X37" s="14"/>
      <c r="Y37"/>
    </row>
    <row r="38" spans="2:49" ht="29" customHeight="1" x14ac:dyDescent="0.35">
      <c r="B38" s="39"/>
      <c r="C38" s="39"/>
      <c r="D38" s="128"/>
      <c r="E38" s="68"/>
      <c r="F38" s="39"/>
      <c r="G38" s="39"/>
      <c r="H38" s="216" t="s">
        <v>136</v>
      </c>
      <c r="I38" s="217"/>
      <c r="J38" s="72"/>
      <c r="K38" s="72"/>
      <c r="X38" s="14"/>
      <c r="Y38"/>
    </row>
    <row r="39" spans="2:49" x14ac:dyDescent="0.35">
      <c r="B39" s="39"/>
      <c r="C39" s="39"/>
      <c r="D39" s="128"/>
      <c r="E39" s="68"/>
      <c r="F39" s="39"/>
      <c r="G39" s="39"/>
      <c r="H39" s="71"/>
      <c r="I39" s="14"/>
      <c r="J39" s="72"/>
      <c r="K39" s="72"/>
      <c r="X39" s="14"/>
      <c r="Y39"/>
    </row>
    <row r="40" spans="2:49" x14ac:dyDescent="0.35">
      <c r="B40" s="39"/>
      <c r="C40" s="39"/>
      <c r="D40" s="128"/>
      <c r="E40" s="68"/>
      <c r="F40" s="39"/>
      <c r="G40" s="39"/>
      <c r="H40" s="71"/>
      <c r="I40" s="14"/>
      <c r="J40" s="72"/>
      <c r="K40" s="72"/>
      <c r="X40" s="14"/>
      <c r="Y40"/>
    </row>
    <row r="41" spans="2:49" x14ac:dyDescent="0.35">
      <c r="B41" s="39"/>
      <c r="C41" s="39"/>
      <c r="D41" s="128"/>
      <c r="E41" s="68"/>
      <c r="F41" s="39"/>
      <c r="G41" s="39"/>
      <c r="H41" s="71"/>
      <c r="I41" s="14"/>
      <c r="J41" s="72"/>
      <c r="K41" s="72"/>
      <c r="X41" s="14"/>
      <c r="Y41"/>
    </row>
    <row r="42" spans="2:49" x14ac:dyDescent="0.35">
      <c r="B42" s="39"/>
      <c r="C42" s="39"/>
      <c r="D42" s="39"/>
      <c r="E42" s="39"/>
      <c r="F42" s="39"/>
      <c r="G42" s="39"/>
      <c r="H42" s="71"/>
      <c r="I42" s="14"/>
      <c r="J42" s="72"/>
      <c r="K42" s="72"/>
      <c r="X42" s="14"/>
      <c r="Y42"/>
    </row>
    <row r="43" spans="2:49" ht="14.5" customHeight="1" x14ac:dyDescent="0.35">
      <c r="B43" s="14"/>
      <c r="C43" s="14"/>
      <c r="D43" s="212" t="s">
        <v>139</v>
      </c>
      <c r="E43" s="213"/>
      <c r="F43" s="213"/>
      <c r="G43" s="213"/>
      <c r="H43" s="213"/>
      <c r="I43" s="213"/>
      <c r="J43" s="72"/>
      <c r="K43" s="72"/>
      <c r="X43" s="14"/>
      <c r="Y43"/>
    </row>
    <row r="44" spans="2:49" ht="8.25" customHeight="1" thickBot="1" x14ac:dyDescent="0.4">
      <c r="B44" s="14"/>
      <c r="C44" s="14"/>
      <c r="D44" s="214"/>
      <c r="E44" s="215"/>
      <c r="F44" s="215"/>
      <c r="G44" s="215"/>
      <c r="H44" s="215"/>
      <c r="I44" s="215"/>
      <c r="J44" s="72"/>
      <c r="K44" s="72"/>
      <c r="X44" s="14"/>
      <c r="Y44"/>
    </row>
    <row r="45" spans="2:49" ht="44" thickBot="1" x14ac:dyDescent="0.5">
      <c r="B45" s="14"/>
      <c r="C45" s="14"/>
      <c r="D45" s="134" t="s">
        <v>78</v>
      </c>
      <c r="E45" s="135" t="s">
        <v>68</v>
      </c>
      <c r="F45" s="135" t="s">
        <v>69</v>
      </c>
      <c r="G45" s="135" t="s">
        <v>70</v>
      </c>
      <c r="H45" s="136" t="s">
        <v>140</v>
      </c>
      <c r="I45" s="136" t="s">
        <v>82</v>
      </c>
      <c r="J45" s="14"/>
      <c r="K45" s="72"/>
      <c r="N45" s="72"/>
      <c r="Y45"/>
      <c r="AH45" s="137" t="s">
        <v>37</v>
      </c>
      <c r="AI45" s="105">
        <f>'Plan plaque - Saisie lectures'!C44</f>
        <v>0</v>
      </c>
      <c r="AJ45" s="105">
        <f>'Plan plaque - Saisie lectures'!D44</f>
        <v>0</v>
      </c>
      <c r="AK45" s="74" t="str">
        <f>IF(SUM(AI45:AJ45)=0,"",             ((-$E$30)+(SQRT($E$30^2-(4*$E$29*($E$31-E37)))))/(2*$E$29))</f>
        <v/>
      </c>
      <c r="AM45" s="138"/>
      <c r="AW45" s="74"/>
    </row>
    <row r="46" spans="2:49" ht="17.5" x14ac:dyDescent="0.45">
      <c r="B46" s="14"/>
      <c r="C46" s="14"/>
      <c r="D46" s="139" t="s">
        <v>125</v>
      </c>
      <c r="E46" s="140">
        <f>'Plan plaque - Saisie lectures'!E37</f>
        <v>0</v>
      </c>
      <c r="F46" s="140">
        <f>'Plan plaque - Saisie lectures'!E38</f>
        <v>0</v>
      </c>
      <c r="G46" s="141" t="str">
        <f>IF(E46=0,"",AVERAGE(E46:F46))</f>
        <v/>
      </c>
      <c r="H46" s="142" t="e">
        <f t="shared" ref="H46:H85" si="9">IF(     G46&gt;SATURATION, "HORS GAMME",                    ((-$E$30)+(SQRT($E$30^2-(4*$E$29*($E$31-G46)))))/(2*$E$29)        )</f>
        <v>#VALUE!</v>
      </c>
      <c r="I46" s="143" t="e">
        <f>IF(H46="HORS GAMME",      "",  H46*2)</f>
        <v>#VALUE!</v>
      </c>
      <c r="J46" s="14"/>
      <c r="K46" s="72"/>
      <c r="N46" s="72"/>
      <c r="Y46"/>
      <c r="AH46" s="137" t="str">
        <f t="shared" ref="AH46:AH85" si="10">+D46</f>
        <v>ECH N°1</v>
      </c>
      <c r="AI46" s="105">
        <f>'Plan plaque - Saisie lectures'!E37</f>
        <v>0</v>
      </c>
      <c r="AJ46" s="105">
        <f>'Plan plaque - Saisie lectures'!F37</f>
        <v>0</v>
      </c>
      <c r="AK46" s="74" t="e">
        <f>IF(SUM(AI46:AJ46)=0,"",             ((-$F$30)+(SQRT($F$30^2-(4*$F$29*($F$31-G46)))))/(2*$F$29))*2</f>
        <v>#VALUE!</v>
      </c>
      <c r="AM46" s="138"/>
      <c r="AW46" s="74"/>
    </row>
    <row r="47" spans="2:49" x14ac:dyDescent="0.35">
      <c r="B47" s="14"/>
      <c r="C47" s="14"/>
      <c r="D47" s="144" t="s">
        <v>126</v>
      </c>
      <c r="E47" s="145">
        <f>'Plan plaque - Saisie lectures'!E39</f>
        <v>0</v>
      </c>
      <c r="F47" s="145">
        <f>'Plan plaque - Saisie lectures'!E40</f>
        <v>0</v>
      </c>
      <c r="G47" s="146" t="str">
        <f t="shared" ref="G47:G85" si="11">IF(E47=0,"",AVERAGE(E47:F47))</f>
        <v/>
      </c>
      <c r="H47" s="147" t="e">
        <f t="shared" si="9"/>
        <v>#VALUE!</v>
      </c>
      <c r="I47" s="148" t="e">
        <f t="shared" ref="I47:I85" si="12">IF(H47="HORS GAMME",      "",  H47*2)</f>
        <v>#VALUE!</v>
      </c>
      <c r="J47" s="14"/>
      <c r="K47" s="149"/>
      <c r="N47" s="72"/>
      <c r="Y47"/>
      <c r="AH47" s="137" t="str">
        <f t="shared" si="10"/>
        <v>ECH N°2</v>
      </c>
      <c r="AI47" s="105">
        <f>'Plan plaque - Saisie lectures'!E38</f>
        <v>0</v>
      </c>
      <c r="AJ47" s="105">
        <f>'Plan plaque - Saisie lectures'!F38</f>
        <v>0</v>
      </c>
      <c r="AK47" s="74" t="str">
        <f t="shared" ref="AK47:AK85" si="13">IF(SUM(AI47:AJ47)=0,"",             ((-$F$30)+(SQRT($F$30^2-(4*$F$29*($F$31-G47)))))/(2*$F$29))</f>
        <v/>
      </c>
      <c r="AW47" s="74"/>
    </row>
    <row r="48" spans="2:49" x14ac:dyDescent="0.35">
      <c r="B48" s="14"/>
      <c r="C48" s="14"/>
      <c r="D48" s="150" t="s">
        <v>83</v>
      </c>
      <c r="E48" s="145">
        <f>'Plan plaque - Saisie lectures'!E41</f>
        <v>0</v>
      </c>
      <c r="F48" s="145">
        <f>'Plan plaque - Saisie lectures'!E42</f>
        <v>0</v>
      </c>
      <c r="G48" s="146" t="str">
        <f t="shared" si="11"/>
        <v/>
      </c>
      <c r="H48" s="147" t="e">
        <f t="shared" si="9"/>
        <v>#VALUE!</v>
      </c>
      <c r="I48" s="148" t="e">
        <f t="shared" si="12"/>
        <v>#VALUE!</v>
      </c>
      <c r="J48" s="14"/>
      <c r="K48" s="72"/>
      <c r="N48" s="72"/>
      <c r="Y48"/>
      <c r="AH48" s="137" t="str">
        <f t="shared" si="10"/>
        <v>ECH  N°3</v>
      </c>
      <c r="AI48" s="105">
        <f>'Plan plaque - Saisie lectures'!E39</f>
        <v>0</v>
      </c>
      <c r="AJ48" s="105">
        <f>'Plan plaque - Saisie lectures'!F39</f>
        <v>0</v>
      </c>
      <c r="AK48" s="74" t="str">
        <f t="shared" si="13"/>
        <v/>
      </c>
      <c r="AW48" s="74"/>
    </row>
    <row r="49" spans="2:49" ht="15" customHeight="1" x14ac:dyDescent="0.35">
      <c r="B49" s="14"/>
      <c r="C49" s="14"/>
      <c r="D49" s="150" t="s">
        <v>92</v>
      </c>
      <c r="E49" s="145">
        <f>'Plan plaque - Saisie lectures'!E43</f>
        <v>0</v>
      </c>
      <c r="F49" s="145">
        <f>'Plan plaque - Saisie lectures'!E44</f>
        <v>0</v>
      </c>
      <c r="G49" s="146" t="str">
        <f t="shared" si="11"/>
        <v/>
      </c>
      <c r="H49" s="147" t="e">
        <f t="shared" si="9"/>
        <v>#VALUE!</v>
      </c>
      <c r="I49" s="148" t="e">
        <f t="shared" si="12"/>
        <v>#VALUE!</v>
      </c>
      <c r="J49" s="14"/>
      <c r="K49" s="72"/>
      <c r="N49" s="72"/>
      <c r="Y49"/>
      <c r="AH49" s="137" t="str">
        <f t="shared" si="10"/>
        <v>ECH N°4</v>
      </c>
      <c r="AI49" s="105">
        <f>'Plan plaque - Saisie lectures'!E40</f>
        <v>0</v>
      </c>
      <c r="AJ49" s="105">
        <f>'Plan plaque - Saisie lectures'!F40</f>
        <v>0</v>
      </c>
      <c r="AK49" s="74" t="str">
        <f t="shared" si="13"/>
        <v/>
      </c>
      <c r="AW49" s="74"/>
    </row>
    <row r="50" spans="2:49" ht="15" customHeight="1" x14ac:dyDescent="0.35">
      <c r="B50" s="14"/>
      <c r="C50" s="14"/>
      <c r="D50" s="150" t="s">
        <v>101</v>
      </c>
      <c r="E50" s="145">
        <f>'Plan plaque - Saisie lectures'!F37</f>
        <v>0</v>
      </c>
      <c r="F50" s="145">
        <f>'Plan plaque - Saisie lectures'!F38</f>
        <v>0</v>
      </c>
      <c r="G50" s="146" t="str">
        <f t="shared" si="11"/>
        <v/>
      </c>
      <c r="H50" s="147" t="e">
        <f t="shared" si="9"/>
        <v>#VALUE!</v>
      </c>
      <c r="I50" s="148" t="e">
        <f t="shared" si="12"/>
        <v>#VALUE!</v>
      </c>
      <c r="J50" s="14"/>
      <c r="K50" s="72"/>
      <c r="N50" s="72"/>
      <c r="Y50"/>
      <c r="AH50" s="137" t="str">
        <f t="shared" si="10"/>
        <v>ECH N°5</v>
      </c>
      <c r="AI50" s="105">
        <f>'Plan plaque - Saisie lectures'!E41</f>
        <v>0</v>
      </c>
      <c r="AJ50" s="105">
        <f>'Plan plaque - Saisie lectures'!F41</f>
        <v>0</v>
      </c>
      <c r="AK50" s="74" t="str">
        <f t="shared" si="13"/>
        <v/>
      </c>
      <c r="AW50" s="74"/>
    </row>
    <row r="51" spans="2:49" ht="15" customHeight="1" x14ac:dyDescent="0.35">
      <c r="B51" s="14"/>
      <c r="C51" s="14"/>
      <c r="D51" s="150" t="s">
        <v>110</v>
      </c>
      <c r="E51" s="145">
        <f>'Plan plaque - Saisie lectures'!F39</f>
        <v>0</v>
      </c>
      <c r="F51" s="145">
        <f>'Plan plaque - Saisie lectures'!F40</f>
        <v>0</v>
      </c>
      <c r="G51" s="146" t="str">
        <f t="shared" si="11"/>
        <v/>
      </c>
      <c r="H51" s="147" t="e">
        <f t="shared" si="9"/>
        <v>#VALUE!</v>
      </c>
      <c r="I51" s="148" t="e">
        <f t="shared" si="12"/>
        <v>#VALUE!</v>
      </c>
      <c r="J51" s="14"/>
      <c r="K51" s="72"/>
      <c r="N51" s="72"/>
      <c r="Y51"/>
      <c r="AH51" s="137" t="str">
        <f t="shared" si="10"/>
        <v>ECH N°6</v>
      </c>
      <c r="AI51" s="105">
        <f>'Plan plaque - Saisie lectures'!E42</f>
        <v>0</v>
      </c>
      <c r="AJ51" s="105">
        <f>'Plan plaque - Saisie lectures'!F42</f>
        <v>0</v>
      </c>
      <c r="AK51" s="74" t="str">
        <f t="shared" si="13"/>
        <v/>
      </c>
      <c r="AW51" s="74"/>
    </row>
    <row r="52" spans="2:49" ht="15" customHeight="1" x14ac:dyDescent="0.35">
      <c r="B52" s="14"/>
      <c r="C52" s="14"/>
      <c r="D52" s="150" t="s">
        <v>84</v>
      </c>
      <c r="E52" s="145">
        <f>'Plan plaque - Saisie lectures'!F41</f>
        <v>0</v>
      </c>
      <c r="F52" s="145">
        <f>'Plan plaque - Saisie lectures'!F42</f>
        <v>0</v>
      </c>
      <c r="G52" s="146" t="str">
        <f t="shared" si="11"/>
        <v/>
      </c>
      <c r="H52" s="147" t="e">
        <f t="shared" si="9"/>
        <v>#VALUE!</v>
      </c>
      <c r="I52" s="148" t="e">
        <f t="shared" si="12"/>
        <v>#VALUE!</v>
      </c>
      <c r="J52" s="14"/>
      <c r="K52" s="72"/>
      <c r="N52" s="72"/>
      <c r="Y52"/>
      <c r="AH52" s="137" t="str">
        <f t="shared" si="10"/>
        <v>ECH N°7</v>
      </c>
      <c r="AI52" s="105">
        <f>'Plan plaque - Saisie lectures'!E43</f>
        <v>0</v>
      </c>
      <c r="AJ52" s="105">
        <f>'Plan plaque - Saisie lectures'!F43</f>
        <v>0</v>
      </c>
      <c r="AK52" s="74" t="str">
        <f t="shared" si="13"/>
        <v/>
      </c>
      <c r="AW52" s="74"/>
    </row>
    <row r="53" spans="2:49" ht="15" customHeight="1" x14ac:dyDescent="0.35">
      <c r="B53" s="14"/>
      <c r="C53" s="14"/>
      <c r="D53" s="150" t="s">
        <v>93</v>
      </c>
      <c r="E53" s="145">
        <f>'Plan plaque - Saisie lectures'!F43</f>
        <v>0</v>
      </c>
      <c r="F53" s="145">
        <f>'Plan plaque - Saisie lectures'!F44</f>
        <v>0</v>
      </c>
      <c r="G53" s="146" t="str">
        <f t="shared" si="11"/>
        <v/>
      </c>
      <c r="H53" s="147" t="e">
        <f t="shared" si="9"/>
        <v>#VALUE!</v>
      </c>
      <c r="I53" s="148" t="e">
        <f t="shared" si="12"/>
        <v>#VALUE!</v>
      </c>
      <c r="J53" s="14"/>
      <c r="K53" s="72"/>
      <c r="N53" s="72"/>
      <c r="Y53"/>
      <c r="AH53" s="137" t="str">
        <f t="shared" si="10"/>
        <v>ECH N°8</v>
      </c>
      <c r="AI53" s="105">
        <f>'Plan plaque - Saisie lectures'!E44</f>
        <v>0</v>
      </c>
      <c r="AJ53" s="105">
        <f>'Plan plaque - Saisie lectures'!F44</f>
        <v>0</v>
      </c>
      <c r="AK53" s="74" t="str">
        <f t="shared" si="13"/>
        <v/>
      </c>
      <c r="AW53" s="74"/>
    </row>
    <row r="54" spans="2:49" ht="15" customHeight="1" x14ac:dyDescent="0.35">
      <c r="B54" s="14"/>
      <c r="C54" s="14"/>
      <c r="D54" s="150" t="s">
        <v>102</v>
      </c>
      <c r="E54" s="145">
        <f>'Plan plaque - Saisie lectures'!G37</f>
        <v>0</v>
      </c>
      <c r="F54" s="145">
        <f>'Plan plaque - Saisie lectures'!G38</f>
        <v>0</v>
      </c>
      <c r="G54" s="146" t="str">
        <f t="shared" si="11"/>
        <v/>
      </c>
      <c r="H54" s="147" t="e">
        <f t="shared" si="9"/>
        <v>#VALUE!</v>
      </c>
      <c r="I54" s="148" t="e">
        <f t="shared" si="12"/>
        <v>#VALUE!</v>
      </c>
      <c r="J54" s="14"/>
      <c r="K54" s="72"/>
      <c r="N54" s="72"/>
      <c r="Y54"/>
      <c r="AH54" s="137" t="str">
        <f t="shared" si="10"/>
        <v>ECH N°9</v>
      </c>
      <c r="AI54" s="105">
        <f>'Plan plaque - Saisie lectures'!G37</f>
        <v>0</v>
      </c>
      <c r="AJ54" s="105">
        <f>'Plan plaque - Saisie lectures'!H37</f>
        <v>0</v>
      </c>
      <c r="AK54" s="74" t="str">
        <f t="shared" si="13"/>
        <v/>
      </c>
      <c r="AW54" s="74"/>
    </row>
    <row r="55" spans="2:49" ht="15" customHeight="1" x14ac:dyDescent="0.35">
      <c r="B55" s="14"/>
      <c r="C55" s="14"/>
      <c r="D55" s="150" t="s">
        <v>111</v>
      </c>
      <c r="E55" s="145">
        <f>'Plan plaque - Saisie lectures'!G39</f>
        <v>0</v>
      </c>
      <c r="F55" s="145">
        <f>'Plan plaque - Saisie lectures'!G40</f>
        <v>0</v>
      </c>
      <c r="G55" s="146" t="str">
        <f t="shared" si="11"/>
        <v/>
      </c>
      <c r="H55" s="147" t="e">
        <f t="shared" si="9"/>
        <v>#VALUE!</v>
      </c>
      <c r="I55" s="148" t="e">
        <f t="shared" si="12"/>
        <v>#VALUE!</v>
      </c>
      <c r="J55" s="14"/>
      <c r="K55" s="72"/>
      <c r="N55" s="72"/>
      <c r="Y55"/>
      <c r="AH55" s="137" t="str">
        <f t="shared" si="10"/>
        <v>ECH N°10</v>
      </c>
      <c r="AI55" s="105">
        <f>'Plan plaque - Saisie lectures'!G38</f>
        <v>0</v>
      </c>
      <c r="AJ55" s="105">
        <f>'Plan plaque - Saisie lectures'!H38</f>
        <v>0</v>
      </c>
      <c r="AK55" s="74" t="str">
        <f t="shared" si="13"/>
        <v/>
      </c>
      <c r="AW55" s="74"/>
    </row>
    <row r="56" spans="2:49" ht="15" customHeight="1" x14ac:dyDescent="0.35">
      <c r="B56" s="14"/>
      <c r="C56" s="14"/>
      <c r="D56" s="150" t="s">
        <v>85</v>
      </c>
      <c r="E56" s="145">
        <f>'Plan plaque - Saisie lectures'!G41</f>
        <v>0</v>
      </c>
      <c r="F56" s="145">
        <f>'Plan plaque - Saisie lectures'!G42</f>
        <v>0</v>
      </c>
      <c r="G56" s="146" t="str">
        <f t="shared" si="11"/>
        <v/>
      </c>
      <c r="H56" s="147" t="e">
        <f t="shared" si="9"/>
        <v>#VALUE!</v>
      </c>
      <c r="I56" s="148" t="e">
        <f t="shared" si="12"/>
        <v>#VALUE!</v>
      </c>
      <c r="J56" s="14"/>
      <c r="K56" s="72"/>
      <c r="N56" s="72"/>
      <c r="Y56"/>
      <c r="AH56" s="137" t="str">
        <f t="shared" si="10"/>
        <v>ECH N°11</v>
      </c>
      <c r="AI56" s="105">
        <f>'Plan plaque - Saisie lectures'!G39</f>
        <v>0</v>
      </c>
      <c r="AJ56" s="105">
        <f>'Plan plaque - Saisie lectures'!H39</f>
        <v>0</v>
      </c>
      <c r="AK56" s="74" t="str">
        <f t="shared" si="13"/>
        <v/>
      </c>
      <c r="AW56" s="74"/>
    </row>
    <row r="57" spans="2:49" ht="15" customHeight="1" x14ac:dyDescent="0.35">
      <c r="B57" s="14"/>
      <c r="C57" s="14"/>
      <c r="D57" s="150" t="s">
        <v>94</v>
      </c>
      <c r="E57" s="145">
        <f>'Plan plaque - Saisie lectures'!G43</f>
        <v>0</v>
      </c>
      <c r="F57" s="145">
        <f>'Plan plaque - Saisie lectures'!G44</f>
        <v>0</v>
      </c>
      <c r="G57" s="146" t="str">
        <f t="shared" si="11"/>
        <v/>
      </c>
      <c r="H57" s="147" t="e">
        <f t="shared" si="9"/>
        <v>#VALUE!</v>
      </c>
      <c r="I57" s="148" t="e">
        <f t="shared" si="12"/>
        <v>#VALUE!</v>
      </c>
      <c r="J57" s="14"/>
      <c r="K57" s="72"/>
      <c r="N57" s="72"/>
      <c r="Y57"/>
      <c r="AH57" s="137" t="str">
        <f t="shared" si="10"/>
        <v>ECH N°12</v>
      </c>
      <c r="AI57" s="105">
        <f>'Plan plaque - Saisie lectures'!G40</f>
        <v>0</v>
      </c>
      <c r="AJ57" s="105">
        <f>'Plan plaque - Saisie lectures'!H40</f>
        <v>0</v>
      </c>
      <c r="AK57" s="74" t="str">
        <f t="shared" si="13"/>
        <v/>
      </c>
      <c r="AW57" s="74"/>
    </row>
    <row r="58" spans="2:49" ht="15" customHeight="1" x14ac:dyDescent="0.35">
      <c r="B58" s="14"/>
      <c r="C58" s="14"/>
      <c r="D58" s="150" t="s">
        <v>103</v>
      </c>
      <c r="E58" s="145">
        <f>'Plan plaque - Saisie lectures'!H37</f>
        <v>0</v>
      </c>
      <c r="F58" s="145">
        <f>'Plan plaque - Saisie lectures'!H38</f>
        <v>0</v>
      </c>
      <c r="G58" s="146" t="str">
        <f t="shared" si="11"/>
        <v/>
      </c>
      <c r="H58" s="147" t="e">
        <f t="shared" si="9"/>
        <v>#VALUE!</v>
      </c>
      <c r="I58" s="148" t="e">
        <f t="shared" si="12"/>
        <v>#VALUE!</v>
      </c>
      <c r="J58" s="14"/>
      <c r="K58" s="72"/>
      <c r="N58" s="72"/>
      <c r="Y58"/>
      <c r="AH58" s="137" t="str">
        <f t="shared" si="10"/>
        <v>ECH N°13</v>
      </c>
      <c r="AI58" s="105">
        <f>'Plan plaque - Saisie lectures'!G41</f>
        <v>0</v>
      </c>
      <c r="AJ58" s="105">
        <f>'Plan plaque - Saisie lectures'!H41</f>
        <v>0</v>
      </c>
      <c r="AK58" s="74" t="str">
        <f t="shared" si="13"/>
        <v/>
      </c>
      <c r="AW58" s="74"/>
    </row>
    <row r="59" spans="2:49" ht="15" customHeight="1" x14ac:dyDescent="0.35">
      <c r="B59" s="14"/>
      <c r="C59" s="14"/>
      <c r="D59" s="150" t="s">
        <v>112</v>
      </c>
      <c r="E59" s="145">
        <f>'Plan plaque - Saisie lectures'!H39</f>
        <v>0</v>
      </c>
      <c r="F59" s="145">
        <f>'Plan plaque - Saisie lectures'!H40</f>
        <v>0</v>
      </c>
      <c r="G59" s="146" t="str">
        <f t="shared" si="11"/>
        <v/>
      </c>
      <c r="H59" s="147" t="e">
        <f t="shared" si="9"/>
        <v>#VALUE!</v>
      </c>
      <c r="I59" s="148" t="e">
        <f t="shared" si="12"/>
        <v>#VALUE!</v>
      </c>
      <c r="J59" s="14"/>
      <c r="K59" s="72"/>
      <c r="N59" s="72"/>
      <c r="Y59"/>
      <c r="AH59" s="137" t="str">
        <f t="shared" si="10"/>
        <v>ECH N°14</v>
      </c>
      <c r="AI59" s="105">
        <f>'Plan plaque - Saisie lectures'!G42</f>
        <v>0</v>
      </c>
      <c r="AJ59" s="105">
        <f>'Plan plaque - Saisie lectures'!H42</f>
        <v>0</v>
      </c>
      <c r="AK59" s="74" t="str">
        <f t="shared" si="13"/>
        <v/>
      </c>
      <c r="AW59" s="74"/>
    </row>
    <row r="60" spans="2:49" ht="15" customHeight="1" x14ac:dyDescent="0.35">
      <c r="B60" s="14"/>
      <c r="C60" s="14"/>
      <c r="D60" s="150" t="s">
        <v>86</v>
      </c>
      <c r="E60" s="145">
        <f>'Plan plaque - Saisie lectures'!H41</f>
        <v>0</v>
      </c>
      <c r="F60" s="145">
        <f>'Plan plaque - Saisie lectures'!H42</f>
        <v>0</v>
      </c>
      <c r="G60" s="146" t="str">
        <f t="shared" si="11"/>
        <v/>
      </c>
      <c r="H60" s="147" t="e">
        <f t="shared" si="9"/>
        <v>#VALUE!</v>
      </c>
      <c r="I60" s="148" t="e">
        <f t="shared" si="12"/>
        <v>#VALUE!</v>
      </c>
      <c r="J60" s="14"/>
      <c r="K60" s="72"/>
      <c r="N60" s="72"/>
      <c r="Y60"/>
      <c r="AH60" s="137" t="str">
        <f t="shared" si="10"/>
        <v>ECH N°15</v>
      </c>
      <c r="AI60" s="105">
        <f>'Plan plaque - Saisie lectures'!G43</f>
        <v>0</v>
      </c>
      <c r="AJ60" s="105">
        <f>'Plan plaque - Saisie lectures'!H43</f>
        <v>0</v>
      </c>
      <c r="AK60" s="74" t="str">
        <f t="shared" si="13"/>
        <v/>
      </c>
      <c r="AW60" s="74"/>
    </row>
    <row r="61" spans="2:49" ht="15" customHeight="1" x14ac:dyDescent="0.35">
      <c r="B61" s="14"/>
      <c r="C61" s="14"/>
      <c r="D61" s="150" t="s">
        <v>95</v>
      </c>
      <c r="E61" s="145">
        <f>'Plan plaque - Saisie lectures'!H43</f>
        <v>0</v>
      </c>
      <c r="F61" s="145">
        <f>'Plan plaque - Saisie lectures'!H44</f>
        <v>0</v>
      </c>
      <c r="G61" s="146" t="str">
        <f t="shared" si="11"/>
        <v/>
      </c>
      <c r="H61" s="147" t="e">
        <f t="shared" si="9"/>
        <v>#VALUE!</v>
      </c>
      <c r="I61" s="148" t="e">
        <f t="shared" si="12"/>
        <v>#VALUE!</v>
      </c>
      <c r="J61" s="14"/>
      <c r="K61" s="72"/>
      <c r="N61" s="72"/>
      <c r="Y61"/>
      <c r="AH61" s="137" t="str">
        <f t="shared" si="10"/>
        <v>ECH N°16</v>
      </c>
      <c r="AI61" s="105">
        <f>'Plan plaque - Saisie lectures'!G44</f>
        <v>0</v>
      </c>
      <c r="AJ61" s="105">
        <f>'Plan plaque - Saisie lectures'!H44</f>
        <v>0</v>
      </c>
      <c r="AK61" s="74" t="str">
        <f t="shared" si="13"/>
        <v/>
      </c>
      <c r="AW61" s="74"/>
    </row>
    <row r="62" spans="2:49" ht="15" customHeight="1" x14ac:dyDescent="0.35">
      <c r="B62" s="14"/>
      <c r="C62" s="14"/>
      <c r="D62" s="150" t="s">
        <v>104</v>
      </c>
      <c r="E62" s="145">
        <f>'Plan plaque - Saisie lectures'!I37</f>
        <v>0</v>
      </c>
      <c r="F62" s="145">
        <f>'Plan plaque - Saisie lectures'!I38</f>
        <v>0</v>
      </c>
      <c r="G62" s="146" t="str">
        <f t="shared" si="11"/>
        <v/>
      </c>
      <c r="H62" s="147" t="e">
        <f t="shared" si="9"/>
        <v>#VALUE!</v>
      </c>
      <c r="I62" s="148" t="e">
        <f t="shared" si="12"/>
        <v>#VALUE!</v>
      </c>
      <c r="J62" s="14"/>
      <c r="K62" s="72"/>
      <c r="N62" s="72"/>
      <c r="Y62"/>
      <c r="AH62" s="137" t="str">
        <f t="shared" si="10"/>
        <v>ECH N°17</v>
      </c>
      <c r="AI62" s="105">
        <f>'Plan plaque - Saisie lectures'!I37</f>
        <v>0</v>
      </c>
      <c r="AJ62" s="105">
        <f>'Plan plaque - Saisie lectures'!J37</f>
        <v>0</v>
      </c>
      <c r="AK62" s="74" t="str">
        <f t="shared" si="13"/>
        <v/>
      </c>
      <c r="AW62" s="74"/>
    </row>
    <row r="63" spans="2:49" ht="15" customHeight="1" x14ac:dyDescent="0.35">
      <c r="B63" s="14"/>
      <c r="C63" s="14"/>
      <c r="D63" s="150" t="s">
        <v>113</v>
      </c>
      <c r="E63" s="145">
        <f>'Plan plaque - Saisie lectures'!I39</f>
        <v>0</v>
      </c>
      <c r="F63" s="145">
        <f>'Plan plaque - Saisie lectures'!I40</f>
        <v>0</v>
      </c>
      <c r="G63" s="146" t="str">
        <f t="shared" si="11"/>
        <v/>
      </c>
      <c r="H63" s="147" t="e">
        <f t="shared" si="9"/>
        <v>#VALUE!</v>
      </c>
      <c r="I63" s="148" t="e">
        <f t="shared" si="12"/>
        <v>#VALUE!</v>
      </c>
      <c r="J63" s="14"/>
      <c r="K63" s="72"/>
      <c r="N63" s="72"/>
      <c r="Y63"/>
      <c r="AH63" s="137" t="str">
        <f t="shared" si="10"/>
        <v>ECH N°18</v>
      </c>
      <c r="AI63" s="105">
        <f>'Plan plaque - Saisie lectures'!I38</f>
        <v>0</v>
      </c>
      <c r="AJ63" s="105">
        <f>'Plan plaque - Saisie lectures'!J38</f>
        <v>0</v>
      </c>
      <c r="AK63" s="74" t="str">
        <f t="shared" si="13"/>
        <v/>
      </c>
      <c r="AW63" s="74"/>
    </row>
    <row r="64" spans="2:49" ht="15" customHeight="1" x14ac:dyDescent="0.35">
      <c r="B64" s="14"/>
      <c r="C64" s="14"/>
      <c r="D64" s="150" t="s">
        <v>87</v>
      </c>
      <c r="E64" s="145">
        <f>'Plan plaque - Saisie lectures'!I41</f>
        <v>0</v>
      </c>
      <c r="F64" s="145">
        <f>'Plan plaque - Saisie lectures'!I42</f>
        <v>0</v>
      </c>
      <c r="G64" s="146" t="str">
        <f t="shared" si="11"/>
        <v/>
      </c>
      <c r="H64" s="147" t="e">
        <f t="shared" si="9"/>
        <v>#VALUE!</v>
      </c>
      <c r="I64" s="148" t="e">
        <f t="shared" si="12"/>
        <v>#VALUE!</v>
      </c>
      <c r="J64" s="14"/>
      <c r="K64" s="72"/>
      <c r="N64" s="72"/>
      <c r="Y64"/>
      <c r="AH64" s="137" t="str">
        <f t="shared" si="10"/>
        <v>ECH N°19</v>
      </c>
      <c r="AI64" s="105">
        <f>'Plan plaque - Saisie lectures'!I39</f>
        <v>0</v>
      </c>
      <c r="AJ64" s="105">
        <f>'Plan plaque - Saisie lectures'!J39</f>
        <v>0</v>
      </c>
      <c r="AK64" s="74" t="str">
        <f t="shared" si="13"/>
        <v/>
      </c>
      <c r="AW64" s="74"/>
    </row>
    <row r="65" spans="2:49" ht="15" customHeight="1" x14ac:dyDescent="0.35">
      <c r="B65" s="14"/>
      <c r="C65" s="14"/>
      <c r="D65" s="150" t="s">
        <v>96</v>
      </c>
      <c r="E65" s="145">
        <f>'Plan plaque - Saisie lectures'!I43</f>
        <v>0</v>
      </c>
      <c r="F65" s="145">
        <f>'Plan plaque - Saisie lectures'!I44</f>
        <v>0</v>
      </c>
      <c r="G65" s="146" t="str">
        <f t="shared" si="11"/>
        <v/>
      </c>
      <c r="H65" s="147" t="e">
        <f t="shared" si="9"/>
        <v>#VALUE!</v>
      </c>
      <c r="I65" s="148" t="e">
        <f t="shared" si="12"/>
        <v>#VALUE!</v>
      </c>
      <c r="J65" s="14"/>
      <c r="K65" s="72"/>
      <c r="N65" s="72"/>
      <c r="Y65"/>
      <c r="AH65" s="137" t="str">
        <f t="shared" si="10"/>
        <v>ECH N°20</v>
      </c>
      <c r="AI65" s="105">
        <f>'Plan plaque - Saisie lectures'!I40</f>
        <v>0</v>
      </c>
      <c r="AJ65" s="105">
        <f>'Plan plaque - Saisie lectures'!J40</f>
        <v>0</v>
      </c>
      <c r="AK65" s="74" t="str">
        <f t="shared" si="13"/>
        <v/>
      </c>
      <c r="AW65" s="74"/>
    </row>
    <row r="66" spans="2:49" ht="15" customHeight="1" x14ac:dyDescent="0.35">
      <c r="B66" s="14"/>
      <c r="C66" s="14"/>
      <c r="D66" s="150" t="s">
        <v>105</v>
      </c>
      <c r="E66" s="145">
        <f>'Plan plaque - Saisie lectures'!J37</f>
        <v>0</v>
      </c>
      <c r="F66" s="145">
        <f>'Plan plaque - Saisie lectures'!J38</f>
        <v>0</v>
      </c>
      <c r="G66" s="146" t="str">
        <f t="shared" si="11"/>
        <v/>
      </c>
      <c r="H66" s="147" t="e">
        <f t="shared" si="9"/>
        <v>#VALUE!</v>
      </c>
      <c r="I66" s="148" t="e">
        <f t="shared" si="12"/>
        <v>#VALUE!</v>
      </c>
      <c r="J66" s="14"/>
      <c r="K66" s="72"/>
      <c r="N66" s="72"/>
      <c r="Y66"/>
      <c r="AH66" s="137" t="str">
        <f t="shared" si="10"/>
        <v>ECH N°21</v>
      </c>
      <c r="AI66" s="105">
        <f>'Plan plaque - Saisie lectures'!I41</f>
        <v>0</v>
      </c>
      <c r="AJ66" s="105">
        <f>'Plan plaque - Saisie lectures'!J41</f>
        <v>0</v>
      </c>
      <c r="AK66" s="74" t="str">
        <f t="shared" si="13"/>
        <v/>
      </c>
      <c r="AW66" s="74"/>
    </row>
    <row r="67" spans="2:49" ht="15" customHeight="1" x14ac:dyDescent="0.35">
      <c r="B67" s="14"/>
      <c r="C67" s="14"/>
      <c r="D67" s="150" t="s">
        <v>114</v>
      </c>
      <c r="E67" s="145">
        <f>'Plan plaque - Saisie lectures'!J39</f>
        <v>0</v>
      </c>
      <c r="F67" s="145">
        <f>'Plan plaque - Saisie lectures'!J40</f>
        <v>0</v>
      </c>
      <c r="G67" s="146" t="str">
        <f t="shared" si="11"/>
        <v/>
      </c>
      <c r="H67" s="147" t="e">
        <f t="shared" si="9"/>
        <v>#VALUE!</v>
      </c>
      <c r="I67" s="148" t="e">
        <f t="shared" si="12"/>
        <v>#VALUE!</v>
      </c>
      <c r="J67" s="14"/>
      <c r="K67" s="72"/>
      <c r="N67" s="72"/>
      <c r="Y67"/>
      <c r="AH67" s="137" t="str">
        <f t="shared" si="10"/>
        <v>ECH N°22</v>
      </c>
      <c r="AI67" s="105">
        <f>'Plan plaque - Saisie lectures'!I42</f>
        <v>0</v>
      </c>
      <c r="AJ67" s="105">
        <f>'Plan plaque - Saisie lectures'!J42</f>
        <v>0</v>
      </c>
      <c r="AK67" s="74" t="str">
        <f t="shared" si="13"/>
        <v/>
      </c>
      <c r="AW67" s="74"/>
    </row>
    <row r="68" spans="2:49" ht="15" customHeight="1" x14ac:dyDescent="0.35">
      <c r="B68" s="14"/>
      <c r="C68" s="14"/>
      <c r="D68" s="150" t="s">
        <v>88</v>
      </c>
      <c r="E68" s="145">
        <f>'Plan plaque - Saisie lectures'!J41</f>
        <v>0</v>
      </c>
      <c r="F68" s="145">
        <f>'Plan plaque - Saisie lectures'!J42</f>
        <v>0</v>
      </c>
      <c r="G68" s="146" t="str">
        <f t="shared" si="11"/>
        <v/>
      </c>
      <c r="H68" s="147" t="e">
        <f t="shared" si="9"/>
        <v>#VALUE!</v>
      </c>
      <c r="I68" s="148" t="e">
        <f t="shared" si="12"/>
        <v>#VALUE!</v>
      </c>
      <c r="J68" s="14"/>
      <c r="K68" s="72"/>
      <c r="N68" s="72"/>
      <c r="Y68"/>
      <c r="AH68" s="137" t="str">
        <f t="shared" si="10"/>
        <v>ECH N°23</v>
      </c>
      <c r="AI68" s="105">
        <f>'Plan plaque - Saisie lectures'!I43</f>
        <v>0</v>
      </c>
      <c r="AJ68" s="105">
        <f>'Plan plaque - Saisie lectures'!J43</f>
        <v>0</v>
      </c>
      <c r="AK68" s="74" t="str">
        <f t="shared" si="13"/>
        <v/>
      </c>
      <c r="AW68" s="74"/>
    </row>
    <row r="69" spans="2:49" ht="15.75" customHeight="1" x14ac:dyDescent="0.35">
      <c r="B69" s="14"/>
      <c r="C69" s="14"/>
      <c r="D69" s="150" t="s">
        <v>97</v>
      </c>
      <c r="E69" s="145">
        <f>'Plan plaque - Saisie lectures'!J43</f>
        <v>0</v>
      </c>
      <c r="F69" s="145">
        <f>'Plan plaque - Saisie lectures'!J44</f>
        <v>0</v>
      </c>
      <c r="G69" s="146" t="str">
        <f t="shared" si="11"/>
        <v/>
      </c>
      <c r="H69" s="147" t="e">
        <f t="shared" si="9"/>
        <v>#VALUE!</v>
      </c>
      <c r="I69" s="148" t="e">
        <f t="shared" si="12"/>
        <v>#VALUE!</v>
      </c>
      <c r="J69" s="14"/>
      <c r="K69" s="72"/>
      <c r="N69" s="72"/>
      <c r="Y69"/>
      <c r="AH69" s="137" t="str">
        <f t="shared" si="10"/>
        <v>ECH N°24</v>
      </c>
      <c r="AI69" s="105">
        <f>'Plan plaque - Saisie lectures'!I44</f>
        <v>0</v>
      </c>
      <c r="AJ69" s="105">
        <f>'Plan plaque - Saisie lectures'!J44</f>
        <v>0</v>
      </c>
      <c r="AK69" s="74" t="str">
        <f t="shared" si="13"/>
        <v/>
      </c>
      <c r="AW69" s="74"/>
    </row>
    <row r="70" spans="2:49" ht="15.75" customHeight="1" x14ac:dyDescent="0.35">
      <c r="B70" s="14"/>
      <c r="C70" s="14"/>
      <c r="D70" s="150" t="s">
        <v>106</v>
      </c>
      <c r="E70" s="145">
        <f>'Plan plaque - Saisie lectures'!K37</f>
        <v>0</v>
      </c>
      <c r="F70" s="145">
        <f>'Plan plaque - Saisie lectures'!K38</f>
        <v>0</v>
      </c>
      <c r="G70" s="146" t="str">
        <f t="shared" si="11"/>
        <v/>
      </c>
      <c r="H70" s="147" t="e">
        <f t="shared" si="9"/>
        <v>#VALUE!</v>
      </c>
      <c r="I70" s="148" t="e">
        <f t="shared" si="12"/>
        <v>#VALUE!</v>
      </c>
      <c r="J70" s="14"/>
      <c r="K70" s="72"/>
      <c r="N70" s="72"/>
      <c r="Y70"/>
      <c r="AH70" s="137" t="str">
        <f t="shared" si="10"/>
        <v>ECH N°25</v>
      </c>
      <c r="AI70" s="105">
        <f>'Plan plaque - Saisie lectures'!K37</f>
        <v>0</v>
      </c>
      <c r="AJ70" s="105">
        <f>'Plan plaque - Saisie lectures'!L37</f>
        <v>0</v>
      </c>
      <c r="AK70" s="74" t="str">
        <f t="shared" si="13"/>
        <v/>
      </c>
      <c r="AW70" s="74"/>
    </row>
    <row r="71" spans="2:49" ht="16.5" customHeight="1" x14ac:dyDescent="0.35">
      <c r="B71" s="14"/>
      <c r="C71" s="14"/>
      <c r="D71" s="150" t="s">
        <v>115</v>
      </c>
      <c r="E71" s="145">
        <f>'Plan plaque - Saisie lectures'!K39</f>
        <v>0</v>
      </c>
      <c r="F71" s="145">
        <f>'Plan plaque - Saisie lectures'!K40</f>
        <v>0</v>
      </c>
      <c r="G71" s="146" t="str">
        <f t="shared" si="11"/>
        <v/>
      </c>
      <c r="H71" s="147" t="e">
        <f t="shared" si="9"/>
        <v>#VALUE!</v>
      </c>
      <c r="I71" s="148" t="e">
        <f t="shared" si="12"/>
        <v>#VALUE!</v>
      </c>
      <c r="J71" s="14"/>
      <c r="K71" s="72"/>
      <c r="N71" s="72"/>
      <c r="Y71"/>
      <c r="AH71" s="137" t="str">
        <f t="shared" si="10"/>
        <v>ECH N°26</v>
      </c>
      <c r="AI71" s="105">
        <f>'Plan plaque - Saisie lectures'!K38</f>
        <v>0</v>
      </c>
      <c r="AJ71" s="105">
        <f>'Plan plaque - Saisie lectures'!L38</f>
        <v>0</v>
      </c>
      <c r="AK71" s="74" t="str">
        <f t="shared" si="13"/>
        <v/>
      </c>
      <c r="AW71" s="74"/>
    </row>
    <row r="72" spans="2:49" ht="15.75" customHeight="1" x14ac:dyDescent="0.35">
      <c r="B72" s="14"/>
      <c r="C72" s="14"/>
      <c r="D72" s="150" t="s">
        <v>89</v>
      </c>
      <c r="E72" s="145">
        <f>'Plan plaque - Saisie lectures'!K41</f>
        <v>0</v>
      </c>
      <c r="F72" s="145">
        <f>'Plan plaque - Saisie lectures'!K42</f>
        <v>0</v>
      </c>
      <c r="G72" s="146" t="str">
        <f t="shared" si="11"/>
        <v/>
      </c>
      <c r="H72" s="147" t="e">
        <f t="shared" si="9"/>
        <v>#VALUE!</v>
      </c>
      <c r="I72" s="148" t="e">
        <f t="shared" si="12"/>
        <v>#VALUE!</v>
      </c>
      <c r="J72" s="14"/>
      <c r="K72" s="72"/>
      <c r="N72" s="72"/>
      <c r="Y72"/>
      <c r="AH72" s="137" t="str">
        <f t="shared" si="10"/>
        <v>ECH N°27</v>
      </c>
      <c r="AI72" s="105">
        <f>'Plan plaque - Saisie lectures'!K39</f>
        <v>0</v>
      </c>
      <c r="AJ72" s="105">
        <f>'Plan plaque - Saisie lectures'!L39</f>
        <v>0</v>
      </c>
      <c r="AK72" s="74" t="str">
        <f t="shared" si="13"/>
        <v/>
      </c>
      <c r="AW72" s="74"/>
    </row>
    <row r="73" spans="2:49" ht="15" customHeight="1" x14ac:dyDescent="0.35">
      <c r="B73" s="14"/>
      <c r="C73" s="14"/>
      <c r="D73" s="150" t="s">
        <v>98</v>
      </c>
      <c r="E73" s="145">
        <f>'Plan plaque - Saisie lectures'!K43</f>
        <v>0</v>
      </c>
      <c r="F73" s="145">
        <f>'Plan plaque - Saisie lectures'!K44</f>
        <v>0</v>
      </c>
      <c r="G73" s="146" t="str">
        <f t="shared" si="11"/>
        <v/>
      </c>
      <c r="H73" s="147" t="e">
        <f t="shared" si="9"/>
        <v>#VALUE!</v>
      </c>
      <c r="I73" s="148" t="e">
        <f t="shared" si="12"/>
        <v>#VALUE!</v>
      </c>
      <c r="J73" s="14"/>
      <c r="K73" s="72"/>
      <c r="N73" s="72"/>
      <c r="Y73"/>
      <c r="AH73" s="137" t="str">
        <f t="shared" si="10"/>
        <v>ECH N°28</v>
      </c>
      <c r="AI73" s="105">
        <f>'Plan plaque - Saisie lectures'!K40</f>
        <v>0</v>
      </c>
      <c r="AJ73" s="105">
        <f>'Plan plaque - Saisie lectures'!L40</f>
        <v>0</v>
      </c>
      <c r="AK73" s="74" t="str">
        <f t="shared" si="13"/>
        <v/>
      </c>
      <c r="AW73" s="74"/>
    </row>
    <row r="74" spans="2:49" ht="15" customHeight="1" x14ac:dyDescent="0.35">
      <c r="B74" s="14"/>
      <c r="C74" s="14"/>
      <c r="D74" s="150" t="s">
        <v>107</v>
      </c>
      <c r="E74" s="145">
        <f>'Plan plaque - Saisie lectures'!L37</f>
        <v>0</v>
      </c>
      <c r="F74" s="145">
        <f>'Plan plaque - Saisie lectures'!L38</f>
        <v>0</v>
      </c>
      <c r="G74" s="146" t="str">
        <f t="shared" si="11"/>
        <v/>
      </c>
      <c r="H74" s="147" t="e">
        <f t="shared" si="9"/>
        <v>#VALUE!</v>
      </c>
      <c r="I74" s="148" t="e">
        <f t="shared" si="12"/>
        <v>#VALUE!</v>
      </c>
      <c r="J74" s="14"/>
      <c r="K74" s="72"/>
      <c r="N74" s="72"/>
      <c r="Y74"/>
      <c r="AH74" s="137" t="str">
        <f t="shared" si="10"/>
        <v>ECH N°29</v>
      </c>
      <c r="AI74" s="105">
        <f>'Plan plaque - Saisie lectures'!K41</f>
        <v>0</v>
      </c>
      <c r="AJ74" s="105">
        <f>'Plan plaque - Saisie lectures'!L41</f>
        <v>0</v>
      </c>
      <c r="AK74" s="74" t="str">
        <f t="shared" si="13"/>
        <v/>
      </c>
      <c r="AW74" s="74"/>
    </row>
    <row r="75" spans="2:49" ht="15" customHeight="1" x14ac:dyDescent="0.35">
      <c r="B75" s="14"/>
      <c r="C75" s="14"/>
      <c r="D75" s="150" t="s">
        <v>116</v>
      </c>
      <c r="E75" s="145">
        <f>'Plan plaque - Saisie lectures'!L39</f>
        <v>0</v>
      </c>
      <c r="F75" s="145">
        <f>'Plan plaque - Saisie lectures'!L40</f>
        <v>0</v>
      </c>
      <c r="G75" s="146" t="str">
        <f t="shared" si="11"/>
        <v/>
      </c>
      <c r="H75" s="147" t="e">
        <f t="shared" si="9"/>
        <v>#VALUE!</v>
      </c>
      <c r="I75" s="148" t="e">
        <f t="shared" si="12"/>
        <v>#VALUE!</v>
      </c>
      <c r="J75" s="14"/>
      <c r="K75" s="72"/>
      <c r="N75" s="72"/>
      <c r="Y75"/>
      <c r="AH75" s="137" t="str">
        <f t="shared" si="10"/>
        <v>ECH N°30</v>
      </c>
      <c r="AI75" s="105">
        <f>'Plan plaque - Saisie lectures'!K42</f>
        <v>0</v>
      </c>
      <c r="AJ75" s="105">
        <f>'Plan plaque - Saisie lectures'!L42</f>
        <v>0</v>
      </c>
      <c r="AK75" s="74" t="str">
        <f t="shared" si="13"/>
        <v/>
      </c>
      <c r="AW75" s="74"/>
    </row>
    <row r="76" spans="2:49" ht="15" customHeight="1" x14ac:dyDescent="0.35">
      <c r="B76" s="14"/>
      <c r="C76" s="14"/>
      <c r="D76" s="150" t="s">
        <v>90</v>
      </c>
      <c r="E76" s="145">
        <f>'Plan plaque - Saisie lectures'!L41</f>
        <v>0</v>
      </c>
      <c r="F76" s="145">
        <f>'Plan plaque - Saisie lectures'!L42</f>
        <v>0</v>
      </c>
      <c r="G76" s="146" t="str">
        <f t="shared" si="11"/>
        <v/>
      </c>
      <c r="H76" s="147" t="e">
        <f t="shared" si="9"/>
        <v>#VALUE!</v>
      </c>
      <c r="I76" s="148" t="e">
        <f t="shared" si="12"/>
        <v>#VALUE!</v>
      </c>
      <c r="J76" s="14"/>
      <c r="K76" s="72"/>
      <c r="N76" s="72"/>
      <c r="Y76"/>
      <c r="AH76" s="137" t="str">
        <f t="shared" si="10"/>
        <v>ECH N°31</v>
      </c>
      <c r="AI76" s="105">
        <f>'Plan plaque - Saisie lectures'!K43</f>
        <v>0</v>
      </c>
      <c r="AJ76" s="105">
        <f>'Plan plaque - Saisie lectures'!L43</f>
        <v>0</v>
      </c>
      <c r="AK76" s="74" t="str">
        <f t="shared" si="13"/>
        <v/>
      </c>
      <c r="AW76" s="74"/>
    </row>
    <row r="77" spans="2:49" ht="15" customHeight="1" x14ac:dyDescent="0.35">
      <c r="B77" s="14"/>
      <c r="C77" s="14"/>
      <c r="D77" s="150" t="s">
        <v>99</v>
      </c>
      <c r="E77" s="145">
        <f>'Plan plaque - Saisie lectures'!L43</f>
        <v>0</v>
      </c>
      <c r="F77" s="145">
        <f>'Plan plaque - Saisie lectures'!L44</f>
        <v>0</v>
      </c>
      <c r="G77" s="146" t="str">
        <f t="shared" si="11"/>
        <v/>
      </c>
      <c r="H77" s="147" t="e">
        <f t="shared" si="9"/>
        <v>#VALUE!</v>
      </c>
      <c r="I77" s="148" t="e">
        <f t="shared" si="12"/>
        <v>#VALUE!</v>
      </c>
      <c r="J77" s="14"/>
      <c r="K77" s="72"/>
      <c r="N77" s="72"/>
      <c r="Y77"/>
      <c r="AH77" s="137" t="str">
        <f t="shared" si="10"/>
        <v>ECH N°32</v>
      </c>
      <c r="AI77" s="105">
        <f>'Plan plaque - Saisie lectures'!K44</f>
        <v>0</v>
      </c>
      <c r="AJ77" s="105">
        <f>'Plan plaque - Saisie lectures'!L44</f>
        <v>0</v>
      </c>
      <c r="AK77" s="74" t="str">
        <f t="shared" si="13"/>
        <v/>
      </c>
      <c r="AW77" s="74"/>
    </row>
    <row r="78" spans="2:49" ht="15" customHeight="1" x14ac:dyDescent="0.35">
      <c r="B78" s="14"/>
      <c r="C78" s="14"/>
      <c r="D78" s="150" t="s">
        <v>108</v>
      </c>
      <c r="E78" s="145">
        <f>'Plan plaque - Saisie lectures'!M37</f>
        <v>0</v>
      </c>
      <c r="F78" s="145">
        <f>'Plan plaque - Saisie lectures'!M38</f>
        <v>0</v>
      </c>
      <c r="G78" s="146" t="str">
        <f t="shared" si="11"/>
        <v/>
      </c>
      <c r="H78" s="147" t="e">
        <f t="shared" si="9"/>
        <v>#VALUE!</v>
      </c>
      <c r="I78" s="148" t="e">
        <f t="shared" si="12"/>
        <v>#VALUE!</v>
      </c>
      <c r="J78" s="14"/>
      <c r="K78" s="72"/>
      <c r="N78" s="72"/>
      <c r="Y78"/>
      <c r="AH78" s="137" t="str">
        <f t="shared" si="10"/>
        <v>ECH N°33</v>
      </c>
      <c r="AI78" s="105">
        <f>'Plan plaque - Saisie lectures'!M37</f>
        <v>0</v>
      </c>
      <c r="AJ78" s="105">
        <f>'Plan plaque - Saisie lectures'!N37</f>
        <v>0</v>
      </c>
      <c r="AK78" s="74" t="str">
        <f t="shared" si="13"/>
        <v/>
      </c>
      <c r="AW78" s="74"/>
    </row>
    <row r="79" spans="2:49" ht="15" customHeight="1" x14ac:dyDescent="0.35">
      <c r="B79" s="14"/>
      <c r="C79" s="14"/>
      <c r="D79" s="150" t="s">
        <v>117</v>
      </c>
      <c r="E79" s="145">
        <f>'Plan plaque - Saisie lectures'!M39</f>
        <v>0</v>
      </c>
      <c r="F79" s="145">
        <f>'Plan plaque - Saisie lectures'!M40</f>
        <v>0</v>
      </c>
      <c r="G79" s="146" t="str">
        <f t="shared" si="11"/>
        <v/>
      </c>
      <c r="H79" s="147" t="e">
        <f t="shared" si="9"/>
        <v>#VALUE!</v>
      </c>
      <c r="I79" s="148" t="e">
        <f t="shared" si="12"/>
        <v>#VALUE!</v>
      </c>
      <c r="J79" s="14"/>
      <c r="K79" s="72"/>
      <c r="N79" s="72"/>
      <c r="Y79"/>
      <c r="AH79" s="137" t="str">
        <f t="shared" si="10"/>
        <v>ECH N°34</v>
      </c>
      <c r="AI79" s="105">
        <f>'Plan plaque - Saisie lectures'!M38</f>
        <v>0</v>
      </c>
      <c r="AJ79" s="105">
        <f>'Plan plaque - Saisie lectures'!N38</f>
        <v>0</v>
      </c>
      <c r="AK79" s="74" t="str">
        <f t="shared" si="13"/>
        <v/>
      </c>
      <c r="AW79" s="74"/>
    </row>
    <row r="80" spans="2:49" ht="15" customHeight="1" x14ac:dyDescent="0.35">
      <c r="B80" s="14"/>
      <c r="C80" s="14"/>
      <c r="D80" s="150" t="s">
        <v>91</v>
      </c>
      <c r="E80" s="145">
        <f>'Plan plaque - Saisie lectures'!M41</f>
        <v>0</v>
      </c>
      <c r="F80" s="145">
        <f>'Plan plaque - Saisie lectures'!M42</f>
        <v>0</v>
      </c>
      <c r="G80" s="146" t="str">
        <f t="shared" si="11"/>
        <v/>
      </c>
      <c r="H80" s="147" t="e">
        <f t="shared" si="9"/>
        <v>#VALUE!</v>
      </c>
      <c r="I80" s="148" t="e">
        <f t="shared" si="12"/>
        <v>#VALUE!</v>
      </c>
      <c r="J80" s="14"/>
      <c r="K80" s="72"/>
      <c r="N80" s="72"/>
      <c r="Y80"/>
      <c r="AH80" s="137" t="str">
        <f t="shared" si="10"/>
        <v>ECH N°35</v>
      </c>
      <c r="AI80" s="105">
        <f>'Plan plaque - Saisie lectures'!M39</f>
        <v>0</v>
      </c>
      <c r="AJ80" s="105">
        <f>'Plan plaque - Saisie lectures'!N39</f>
        <v>0</v>
      </c>
      <c r="AK80" s="74" t="str">
        <f t="shared" si="13"/>
        <v/>
      </c>
      <c r="AW80" s="74"/>
    </row>
    <row r="81" spans="2:51" ht="15" customHeight="1" x14ac:dyDescent="0.35">
      <c r="B81" s="14"/>
      <c r="C81" s="14"/>
      <c r="D81" s="150" t="s">
        <v>100</v>
      </c>
      <c r="E81" s="145">
        <f>'Plan plaque - Saisie lectures'!M43</f>
        <v>0</v>
      </c>
      <c r="F81" s="145">
        <f>'Plan plaque - Saisie lectures'!M44</f>
        <v>0</v>
      </c>
      <c r="G81" s="146" t="str">
        <f t="shared" si="11"/>
        <v/>
      </c>
      <c r="H81" s="147" t="e">
        <f t="shared" si="9"/>
        <v>#VALUE!</v>
      </c>
      <c r="I81" s="148" t="e">
        <f t="shared" si="12"/>
        <v>#VALUE!</v>
      </c>
      <c r="J81" s="14"/>
      <c r="K81" s="72"/>
      <c r="N81" s="72"/>
      <c r="Y81"/>
      <c r="AH81" s="137" t="str">
        <f t="shared" si="10"/>
        <v>ECH N°36</v>
      </c>
      <c r="AI81" s="105">
        <f>'Plan plaque - Saisie lectures'!M40</f>
        <v>0</v>
      </c>
      <c r="AJ81" s="105">
        <f>'Plan plaque - Saisie lectures'!N40</f>
        <v>0</v>
      </c>
      <c r="AK81" s="74" t="str">
        <f t="shared" si="13"/>
        <v/>
      </c>
      <c r="AW81" s="74"/>
    </row>
    <row r="82" spans="2:51" ht="15" customHeight="1" x14ac:dyDescent="0.35">
      <c r="B82" s="14"/>
      <c r="C82" s="14"/>
      <c r="D82" s="150" t="s">
        <v>109</v>
      </c>
      <c r="E82" s="145">
        <f>'Plan plaque - Saisie lectures'!N37</f>
        <v>0</v>
      </c>
      <c r="F82" s="145">
        <f>'Plan plaque - Saisie lectures'!N38</f>
        <v>0</v>
      </c>
      <c r="G82" s="146" t="str">
        <f t="shared" si="11"/>
        <v/>
      </c>
      <c r="H82" s="147" t="e">
        <f t="shared" si="9"/>
        <v>#VALUE!</v>
      </c>
      <c r="I82" s="148" t="e">
        <f t="shared" si="12"/>
        <v>#VALUE!</v>
      </c>
      <c r="J82" s="14"/>
      <c r="K82" s="72"/>
      <c r="N82" s="72"/>
      <c r="Y82"/>
      <c r="AH82" s="137" t="str">
        <f t="shared" si="10"/>
        <v>ECH N°37</v>
      </c>
      <c r="AI82" s="105">
        <f>'Plan plaque - Saisie lectures'!M41</f>
        <v>0</v>
      </c>
      <c r="AJ82" s="105">
        <f>'Plan plaque - Saisie lectures'!N41</f>
        <v>0</v>
      </c>
      <c r="AK82" s="74" t="str">
        <f t="shared" si="13"/>
        <v/>
      </c>
      <c r="AW82" s="74"/>
    </row>
    <row r="83" spans="2:51" ht="15" customHeight="1" x14ac:dyDescent="0.35">
      <c r="B83" s="14"/>
      <c r="C83" s="14"/>
      <c r="D83" s="150" t="s">
        <v>118</v>
      </c>
      <c r="E83" s="145">
        <f>'Plan plaque - Saisie lectures'!N39</f>
        <v>0</v>
      </c>
      <c r="F83" s="145">
        <f>'Plan plaque - Saisie lectures'!N40</f>
        <v>0</v>
      </c>
      <c r="G83" s="146" t="str">
        <f t="shared" si="11"/>
        <v/>
      </c>
      <c r="H83" s="147" t="e">
        <f t="shared" si="9"/>
        <v>#VALUE!</v>
      </c>
      <c r="I83" s="148" t="e">
        <f t="shared" si="12"/>
        <v>#VALUE!</v>
      </c>
      <c r="J83" s="14"/>
      <c r="K83" s="72"/>
      <c r="N83" s="72"/>
      <c r="Y83"/>
      <c r="AH83" s="137" t="str">
        <f t="shared" si="10"/>
        <v>ECH N°38</v>
      </c>
      <c r="AI83" s="105">
        <f>'Plan plaque - Saisie lectures'!M42</f>
        <v>0</v>
      </c>
      <c r="AJ83" s="105">
        <f>'Plan plaque - Saisie lectures'!N42</f>
        <v>0</v>
      </c>
      <c r="AK83" s="74" t="str">
        <f t="shared" si="13"/>
        <v/>
      </c>
      <c r="AW83" s="74"/>
    </row>
    <row r="84" spans="2:51" s="14" customFormat="1" ht="15" customHeight="1" x14ac:dyDescent="0.35">
      <c r="D84" s="150" t="s">
        <v>121</v>
      </c>
      <c r="E84" s="145">
        <f>'Plan plaque - Saisie lectures'!N41</f>
        <v>0</v>
      </c>
      <c r="F84" s="145">
        <f>'Plan plaque - Saisie lectures'!N42</f>
        <v>0</v>
      </c>
      <c r="G84" s="146" t="str">
        <f t="shared" si="11"/>
        <v/>
      </c>
      <c r="H84" s="147" t="e">
        <f t="shared" si="9"/>
        <v>#VALUE!</v>
      </c>
      <c r="I84" s="148" t="e">
        <f t="shared" si="12"/>
        <v>#VALUE!</v>
      </c>
      <c r="K84" s="72"/>
      <c r="L84" s="72"/>
      <c r="M84" s="72"/>
      <c r="N84" s="72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/>
      <c r="Z84" s="74"/>
      <c r="AA84" s="74"/>
      <c r="AB84" s="74"/>
      <c r="AC84" s="74"/>
      <c r="AD84" s="74"/>
      <c r="AE84" s="74"/>
      <c r="AF84" s="74"/>
      <c r="AG84" s="74"/>
      <c r="AH84" s="137" t="str">
        <f t="shared" si="10"/>
        <v>ECH N°39</v>
      </c>
      <c r="AI84" s="105">
        <f>'Plan plaque - Saisie lectures'!M43</f>
        <v>0</v>
      </c>
      <c r="AJ84" s="105">
        <f>'Plan plaque - Saisie lectures'!N43</f>
        <v>0</v>
      </c>
      <c r="AK84" s="74" t="str">
        <f t="shared" si="13"/>
        <v/>
      </c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/>
      <c r="AY84"/>
    </row>
    <row r="85" spans="2:51" s="14" customFormat="1" ht="15" thickBot="1" x14ac:dyDescent="0.4">
      <c r="D85" s="151" t="s">
        <v>122</v>
      </c>
      <c r="E85" s="152">
        <f>'Plan plaque - Saisie lectures'!N43</f>
        <v>0</v>
      </c>
      <c r="F85" s="152">
        <f>'Plan plaque - Saisie lectures'!N44</f>
        <v>0</v>
      </c>
      <c r="G85" s="153" t="str">
        <f t="shared" si="11"/>
        <v/>
      </c>
      <c r="H85" s="154" t="e">
        <f t="shared" si="9"/>
        <v>#VALUE!</v>
      </c>
      <c r="I85" s="155" t="e">
        <f t="shared" si="12"/>
        <v>#VALUE!</v>
      </c>
      <c r="K85" s="72"/>
      <c r="L85" s="72"/>
      <c r="M85" s="72"/>
      <c r="N85" s="72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/>
      <c r="Z85" s="74"/>
      <c r="AA85" s="74"/>
      <c r="AB85" s="74"/>
      <c r="AC85" s="74"/>
      <c r="AD85" s="74"/>
      <c r="AE85" s="74"/>
      <c r="AF85" s="74"/>
      <c r="AG85" s="74"/>
      <c r="AH85" s="137" t="str">
        <f t="shared" si="10"/>
        <v>ECH N°40</v>
      </c>
      <c r="AI85" s="105">
        <f>'Plan plaque - Saisie lectures'!M44</f>
        <v>0</v>
      </c>
      <c r="AJ85" s="105">
        <f>'Plan plaque - Saisie lectures'!N44</f>
        <v>0</v>
      </c>
      <c r="AK85" s="74" t="str">
        <f t="shared" si="13"/>
        <v/>
      </c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/>
      <c r="AY85"/>
    </row>
    <row r="86" spans="2:51" s="14" customFormat="1" x14ac:dyDescent="0.35">
      <c r="H86" s="71"/>
      <c r="J86" s="72"/>
      <c r="K86" s="72"/>
      <c r="L86" s="72"/>
      <c r="M86" s="72"/>
      <c r="N86" s="73"/>
      <c r="O86" s="73"/>
      <c r="P86" s="73"/>
      <c r="Q86" s="73"/>
      <c r="R86" s="73"/>
      <c r="S86" s="73"/>
      <c r="T86" s="73"/>
      <c r="U86" s="73"/>
      <c r="V86" s="73"/>
      <c r="W86" s="73"/>
      <c r="Y86"/>
      <c r="Z86" s="74"/>
      <c r="AA86" s="74"/>
      <c r="AB86" s="74"/>
      <c r="AC86" s="74"/>
      <c r="AD86" s="74"/>
      <c r="AE86" s="74"/>
      <c r="AF86" s="74"/>
      <c r="AG86" s="137"/>
      <c r="AH86" s="105"/>
      <c r="AI86" s="105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/>
      <c r="AX86"/>
      <c r="AY86"/>
    </row>
    <row r="87" spans="2:51" s="14" customFormat="1" x14ac:dyDescent="0.35">
      <c r="H87" s="71"/>
      <c r="J87" s="72"/>
      <c r="K87" s="72"/>
      <c r="L87" s="72"/>
      <c r="M87" s="72"/>
      <c r="N87" s="73"/>
      <c r="O87" s="73"/>
      <c r="P87" s="73"/>
      <c r="Q87" s="73"/>
      <c r="R87" s="73"/>
      <c r="S87" s="73"/>
      <c r="T87" s="73"/>
      <c r="U87" s="73"/>
      <c r="V87" s="73"/>
      <c r="W87" s="73"/>
      <c r="Y87"/>
      <c r="Z87" s="74"/>
      <c r="AA87" s="74"/>
      <c r="AB87" s="74"/>
      <c r="AC87" s="74"/>
      <c r="AD87" s="74"/>
      <c r="AE87" s="74"/>
      <c r="AF87" s="74"/>
      <c r="AG87" s="74"/>
      <c r="AH87" s="105"/>
      <c r="AI87" s="105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/>
      <c r="AX87"/>
      <c r="AY87"/>
    </row>
    <row r="88" spans="2:51" s="14" customFormat="1" x14ac:dyDescent="0.35">
      <c r="C88" s="1"/>
      <c r="D88" s="1"/>
      <c r="E88" s="1"/>
      <c r="F88" s="1"/>
      <c r="G88" s="1"/>
      <c r="H88" s="69"/>
      <c r="I88" s="1"/>
      <c r="J88" s="160"/>
      <c r="K88" s="72"/>
      <c r="L88" s="72"/>
      <c r="M88" s="72"/>
      <c r="N88" s="73"/>
      <c r="O88" s="73"/>
      <c r="P88" s="73"/>
      <c r="Q88" s="73"/>
      <c r="R88" s="73"/>
      <c r="S88" s="73"/>
      <c r="T88" s="73"/>
      <c r="U88" s="73"/>
      <c r="V88" s="73"/>
      <c r="W88" s="73"/>
      <c r="Y88"/>
      <c r="Z88" s="74"/>
      <c r="AA88" s="74"/>
      <c r="AB88" s="74"/>
      <c r="AC88" s="74"/>
      <c r="AD88" s="74"/>
      <c r="AE88" s="74"/>
      <c r="AF88" s="74"/>
      <c r="AG88" s="74"/>
      <c r="AH88" s="105"/>
      <c r="AI88" s="105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/>
      <c r="AX88"/>
      <c r="AY88"/>
    </row>
    <row r="89" spans="2:51" s="14" customFormat="1" x14ac:dyDescent="0.35">
      <c r="B89" s="156" t="s">
        <v>79</v>
      </c>
      <c r="C89" s="1"/>
      <c r="D89" s="2"/>
      <c r="E89" s="1"/>
      <c r="F89" s="1"/>
      <c r="G89" s="1"/>
      <c r="H89" s="69"/>
      <c r="I89" s="1"/>
      <c r="J89" s="160"/>
      <c r="K89" s="72"/>
      <c r="L89" s="72"/>
      <c r="M89" s="72"/>
      <c r="N89" s="73"/>
      <c r="O89" s="73"/>
      <c r="P89" s="73"/>
      <c r="Q89" s="73"/>
      <c r="R89" s="73"/>
      <c r="S89" s="73"/>
      <c r="T89" s="73"/>
      <c r="U89" s="73"/>
      <c r="V89" s="73"/>
      <c r="W89" s="73"/>
      <c r="Y89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/>
      <c r="AX89"/>
      <c r="AY89"/>
    </row>
    <row r="90" spans="2:51" s="14" customFormat="1" x14ac:dyDescent="0.35">
      <c r="C90" s="1"/>
      <c r="D90" s="70"/>
      <c r="E90" s="1"/>
      <c r="F90" s="1"/>
      <c r="G90" s="1"/>
      <c r="H90" s="69"/>
      <c r="I90" s="1"/>
      <c r="J90" s="160"/>
      <c r="K90" s="72"/>
      <c r="L90" s="72"/>
      <c r="M90" s="72"/>
      <c r="N90" s="73"/>
      <c r="O90" s="73"/>
      <c r="P90" s="73"/>
      <c r="Q90" s="73"/>
      <c r="R90" s="73"/>
      <c r="S90" s="73"/>
      <c r="T90" s="73"/>
      <c r="U90" s="73"/>
      <c r="V90" s="73"/>
      <c r="W90" s="73"/>
      <c r="Y90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/>
      <c r="AX90"/>
      <c r="AY90"/>
    </row>
    <row r="91" spans="2:51" s="14" customFormat="1" x14ac:dyDescent="0.35">
      <c r="B91" s="156" t="s">
        <v>80</v>
      </c>
      <c r="C91" s="1"/>
      <c r="D91" s="3"/>
      <c r="E91" s="1"/>
      <c r="F91" s="1"/>
      <c r="G91" s="1"/>
      <c r="H91" s="69"/>
      <c r="I91" s="1"/>
      <c r="J91" s="160"/>
      <c r="K91" s="72"/>
      <c r="L91" s="72"/>
      <c r="M91" s="72"/>
      <c r="N91" s="73"/>
      <c r="O91" s="73"/>
      <c r="P91" s="73"/>
      <c r="Q91" s="73"/>
      <c r="R91" s="73"/>
      <c r="S91" s="73"/>
      <c r="T91" s="73"/>
      <c r="U91" s="73"/>
      <c r="V91" s="73"/>
      <c r="W91" s="73"/>
      <c r="Y91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/>
      <c r="AX91"/>
      <c r="AY91"/>
    </row>
    <row r="92" spans="2:51" s="14" customFormat="1" ht="18.5" x14ac:dyDescent="0.45">
      <c r="H92" s="71"/>
      <c r="I92" s="14" t="s">
        <v>128</v>
      </c>
      <c r="J92" s="157" t="s">
        <v>81</v>
      </c>
      <c r="K92" s="72"/>
      <c r="L92" s="72"/>
      <c r="M92" s="72"/>
      <c r="N92" s="73"/>
      <c r="O92" s="73"/>
      <c r="P92" s="73"/>
      <c r="Q92" s="73"/>
      <c r="R92" s="73"/>
      <c r="S92" s="73"/>
      <c r="T92" s="73"/>
      <c r="U92" s="73"/>
      <c r="V92" s="73"/>
      <c r="W92" s="73"/>
      <c r="Y92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/>
      <c r="AX92"/>
      <c r="AY92"/>
    </row>
    <row r="93" spans="2:51" s="14" customFormat="1" x14ac:dyDescent="0.35">
      <c r="H93" s="71"/>
      <c r="J93" s="72"/>
      <c r="K93" s="72"/>
      <c r="L93" s="72"/>
      <c r="M93" s="72"/>
      <c r="N93" s="73"/>
      <c r="O93" s="73"/>
      <c r="P93" s="73"/>
      <c r="Q93" s="73"/>
      <c r="R93" s="73"/>
      <c r="S93" s="73"/>
      <c r="T93" s="73"/>
      <c r="U93" s="73"/>
      <c r="V93" s="73"/>
      <c r="W93" s="73"/>
      <c r="Y93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/>
      <c r="AX93"/>
      <c r="AY93"/>
    </row>
    <row r="94" spans="2:51" s="14" customFormat="1" x14ac:dyDescent="0.35">
      <c r="H94" s="71"/>
      <c r="J94" s="72"/>
      <c r="K94" s="72"/>
      <c r="L94" s="72"/>
      <c r="M94" s="72"/>
      <c r="N94" s="73"/>
      <c r="O94" s="73"/>
      <c r="P94" s="73"/>
      <c r="Q94" s="73"/>
      <c r="R94" s="73"/>
      <c r="S94" s="73"/>
      <c r="T94" s="73"/>
      <c r="U94" s="73"/>
      <c r="V94" s="73"/>
      <c r="W94" s="73"/>
      <c r="Y9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/>
      <c r="AX94"/>
      <c r="AY94"/>
    </row>
    <row r="95" spans="2:51" s="14" customFormat="1" x14ac:dyDescent="0.35">
      <c r="H95" s="71"/>
      <c r="J95" s="72"/>
      <c r="K95" s="72"/>
      <c r="L95" s="72"/>
      <c r="M95" s="72"/>
      <c r="N95" s="73"/>
      <c r="O95" s="73"/>
      <c r="P95" s="73"/>
      <c r="Q95" s="73"/>
      <c r="R95" s="73"/>
      <c r="S95" s="73"/>
      <c r="T95" s="73"/>
      <c r="U95" s="73"/>
      <c r="V95" s="73"/>
      <c r="W95" s="73"/>
      <c r="Y95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/>
      <c r="AX95"/>
      <c r="AY95"/>
    </row>
    <row r="96" spans="2:51" s="14" customFormat="1" x14ac:dyDescent="0.35">
      <c r="H96" s="71"/>
      <c r="J96" s="72"/>
      <c r="K96" s="72"/>
      <c r="L96" s="72"/>
      <c r="M96" s="72"/>
      <c r="N96" s="73"/>
      <c r="O96" s="73"/>
      <c r="P96" s="73"/>
      <c r="Q96" s="73"/>
      <c r="R96" s="73"/>
      <c r="S96" s="73"/>
      <c r="T96" s="73"/>
      <c r="U96" s="73"/>
      <c r="V96" s="73"/>
      <c r="W96" s="73"/>
      <c r="Y96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/>
      <c r="AX96"/>
      <c r="AY96"/>
    </row>
    <row r="97" spans="8:51" s="14" customFormat="1" x14ac:dyDescent="0.35">
      <c r="H97" s="71"/>
      <c r="J97" s="72"/>
      <c r="K97" s="72"/>
      <c r="L97" s="72"/>
      <c r="M97" s="72"/>
      <c r="N97" s="73"/>
      <c r="O97" s="73"/>
      <c r="P97" s="73"/>
      <c r="Q97" s="73"/>
      <c r="R97" s="73"/>
      <c r="S97" s="73"/>
      <c r="T97" s="73"/>
      <c r="U97" s="73"/>
      <c r="V97" s="73"/>
      <c r="W97" s="73"/>
      <c r="Y97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/>
      <c r="AX97"/>
      <c r="AY97"/>
    </row>
    <row r="98" spans="8:51" s="14" customFormat="1" x14ac:dyDescent="0.35">
      <c r="H98" s="71"/>
      <c r="J98" s="72"/>
      <c r="K98" s="72"/>
      <c r="L98" s="72"/>
      <c r="M98" s="72"/>
      <c r="N98" s="73"/>
      <c r="O98" s="73"/>
      <c r="P98" s="73"/>
      <c r="Q98" s="73"/>
      <c r="R98" s="73"/>
      <c r="S98" s="73"/>
      <c r="T98" s="73"/>
      <c r="U98" s="73"/>
      <c r="V98" s="73"/>
      <c r="W98" s="73"/>
      <c r="Y98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/>
      <c r="AX98"/>
      <c r="AY98"/>
    </row>
    <row r="99" spans="8:51" s="14" customFormat="1" x14ac:dyDescent="0.35">
      <c r="H99" s="71"/>
      <c r="J99" s="72"/>
      <c r="K99" s="72"/>
      <c r="L99" s="72"/>
      <c r="M99" s="72"/>
      <c r="N99" s="73"/>
      <c r="O99" s="73"/>
      <c r="P99" s="73"/>
      <c r="Q99" s="73"/>
      <c r="R99" s="73"/>
      <c r="S99" s="73"/>
      <c r="T99" s="73"/>
      <c r="U99" s="73"/>
      <c r="V99" s="73"/>
      <c r="W99" s="73"/>
      <c r="Y99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/>
      <c r="AX99"/>
      <c r="AY99"/>
    </row>
    <row r="100" spans="8:51" s="14" customFormat="1" x14ac:dyDescent="0.35">
      <c r="H100" s="71"/>
      <c r="J100" s="72"/>
      <c r="K100" s="72"/>
      <c r="L100" s="72"/>
      <c r="M100" s="72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Y100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/>
      <c r="AX100"/>
      <c r="AY100"/>
    </row>
    <row r="101" spans="8:51" s="14" customFormat="1" x14ac:dyDescent="0.35">
      <c r="H101" s="71"/>
      <c r="J101" s="72"/>
      <c r="K101" s="72"/>
      <c r="L101" s="72"/>
      <c r="M101" s="72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Y101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/>
      <c r="AX101"/>
      <c r="AY101"/>
    </row>
    <row r="102" spans="8:51" s="14" customFormat="1" x14ac:dyDescent="0.35">
      <c r="H102" s="71"/>
      <c r="J102" s="72"/>
      <c r="K102" s="72"/>
      <c r="L102" s="72"/>
      <c r="M102" s="72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Y102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/>
      <c r="AX102"/>
      <c r="AY102"/>
    </row>
    <row r="103" spans="8:51" s="14" customFormat="1" x14ac:dyDescent="0.35">
      <c r="H103" s="71"/>
      <c r="J103" s="72"/>
      <c r="K103" s="72"/>
      <c r="L103" s="72"/>
      <c r="M103" s="72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Y103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/>
      <c r="AX103"/>
      <c r="AY103"/>
    </row>
    <row r="104" spans="8:51" s="14" customFormat="1" x14ac:dyDescent="0.35">
      <c r="H104" s="71"/>
      <c r="J104" s="72"/>
      <c r="K104" s="72"/>
      <c r="L104" s="72"/>
      <c r="M104" s="72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Y10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/>
      <c r="AX104"/>
      <c r="AY104"/>
    </row>
    <row r="105" spans="8:51" s="14" customFormat="1" x14ac:dyDescent="0.35">
      <c r="H105" s="71"/>
      <c r="J105" s="72"/>
      <c r="K105" s="72"/>
      <c r="L105" s="72"/>
      <c r="M105" s="72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Y105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/>
      <c r="AX105"/>
      <c r="AY105"/>
    </row>
    <row r="106" spans="8:51" s="14" customFormat="1" x14ac:dyDescent="0.35">
      <c r="H106" s="71"/>
      <c r="J106" s="72"/>
      <c r="K106" s="72"/>
      <c r="L106" s="72"/>
      <c r="M106" s="72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Y106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/>
      <c r="AX106"/>
      <c r="AY106"/>
    </row>
    <row r="107" spans="8:51" s="14" customFormat="1" x14ac:dyDescent="0.35">
      <c r="H107" s="71"/>
      <c r="J107" s="72"/>
      <c r="K107" s="72"/>
      <c r="L107" s="72"/>
      <c r="M107" s="72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Y107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/>
      <c r="AX107"/>
      <c r="AY107"/>
    </row>
    <row r="108" spans="8:51" s="14" customFormat="1" x14ac:dyDescent="0.35">
      <c r="H108" s="71"/>
      <c r="J108" s="72"/>
      <c r="K108" s="72"/>
      <c r="L108" s="72"/>
      <c r="M108" s="72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Y108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/>
      <c r="AX108"/>
      <c r="AY108"/>
    </row>
    <row r="109" spans="8:51" s="14" customFormat="1" x14ac:dyDescent="0.35">
      <c r="H109" s="71"/>
      <c r="J109" s="72"/>
      <c r="K109" s="72"/>
      <c r="L109" s="72"/>
      <c r="M109" s="72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Y109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/>
      <c r="AX109"/>
      <c r="AY109"/>
    </row>
    <row r="110" spans="8:51" s="14" customFormat="1" x14ac:dyDescent="0.35">
      <c r="H110" s="71"/>
      <c r="J110" s="72"/>
      <c r="K110" s="72"/>
      <c r="L110" s="72"/>
      <c r="M110" s="72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Y110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/>
      <c r="AX110"/>
      <c r="AY110"/>
    </row>
    <row r="111" spans="8:51" s="14" customFormat="1" x14ac:dyDescent="0.35">
      <c r="H111" s="71"/>
      <c r="J111" s="72"/>
      <c r="K111" s="72"/>
      <c r="L111" s="72"/>
      <c r="M111" s="72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Y111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/>
      <c r="AX111"/>
      <c r="AY111"/>
    </row>
    <row r="112" spans="8:51" s="14" customFormat="1" x14ac:dyDescent="0.35">
      <c r="H112" s="71"/>
      <c r="J112" s="72"/>
      <c r="K112" s="72"/>
      <c r="L112" s="72"/>
      <c r="M112" s="72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Y112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/>
      <c r="AX112"/>
      <c r="AY112"/>
    </row>
    <row r="113" spans="8:51" s="14" customFormat="1" x14ac:dyDescent="0.35">
      <c r="H113" s="71"/>
      <c r="J113" s="72"/>
      <c r="K113" s="72"/>
      <c r="L113" s="72"/>
      <c r="M113" s="72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Y113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/>
      <c r="AX113"/>
      <c r="AY113"/>
    </row>
    <row r="114" spans="8:51" s="14" customFormat="1" x14ac:dyDescent="0.35">
      <c r="H114" s="71"/>
      <c r="J114" s="72"/>
      <c r="K114" s="72"/>
      <c r="L114" s="72"/>
      <c r="M114" s="72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Y11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/>
      <c r="AX114"/>
      <c r="AY114"/>
    </row>
    <row r="115" spans="8:51" s="14" customFormat="1" x14ac:dyDescent="0.35">
      <c r="H115" s="71"/>
      <c r="J115" s="72"/>
      <c r="K115" s="72"/>
      <c r="L115" s="72"/>
      <c r="M115" s="72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Y115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/>
      <c r="AX115"/>
      <c r="AY115"/>
    </row>
    <row r="116" spans="8:51" s="14" customFormat="1" x14ac:dyDescent="0.35">
      <c r="H116" s="71"/>
      <c r="J116" s="72"/>
      <c r="K116" s="72"/>
      <c r="L116" s="72"/>
      <c r="M116" s="72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Y116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/>
      <c r="AX116"/>
      <c r="AY116"/>
    </row>
    <row r="117" spans="8:51" s="14" customFormat="1" x14ac:dyDescent="0.35">
      <c r="H117" s="71"/>
      <c r="J117" s="72"/>
      <c r="K117" s="72"/>
      <c r="L117" s="72"/>
      <c r="M117" s="72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Y117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/>
      <c r="AX117"/>
      <c r="AY117"/>
    </row>
    <row r="118" spans="8:51" s="14" customFormat="1" x14ac:dyDescent="0.35">
      <c r="H118" s="71"/>
      <c r="J118" s="72"/>
      <c r="K118" s="72"/>
      <c r="L118" s="72"/>
      <c r="M118" s="72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Y118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/>
      <c r="AX118"/>
      <c r="AY118"/>
    </row>
    <row r="119" spans="8:51" s="14" customFormat="1" x14ac:dyDescent="0.35">
      <c r="H119" s="71"/>
      <c r="J119" s="72"/>
      <c r="K119" s="72"/>
      <c r="L119" s="72"/>
      <c r="M119" s="72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Y119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/>
      <c r="AX119"/>
      <c r="AY119"/>
    </row>
    <row r="120" spans="8:51" s="14" customFormat="1" x14ac:dyDescent="0.35">
      <c r="H120" s="71"/>
      <c r="J120" s="72"/>
      <c r="K120" s="72"/>
      <c r="L120" s="72"/>
      <c r="M120" s="72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Y120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/>
      <c r="AX120"/>
      <c r="AY120"/>
    </row>
    <row r="121" spans="8:51" x14ac:dyDescent="0.35">
      <c r="X121" s="14"/>
      <c r="Y121"/>
    </row>
  </sheetData>
  <sheetProtection algorithmName="SHA-512" hashValue="76IKHurNbYrqhgLTbxPwxEjy2c/dRVeJqFy6F+bqNuGbcmWNpf18IuIxBqN+EOXmXFHfDbM4PLR2CR44tWS03g==" saltValue="vUG0pXrchRX//dyb5x5BJw==" spinCount="100000" sheet="1" selectLockedCells="1"/>
  <mergeCells count="15">
    <mergeCell ref="B35:G35"/>
    <mergeCell ref="H37:I37"/>
    <mergeCell ref="D43:I44"/>
    <mergeCell ref="H38:I38"/>
    <mergeCell ref="B2:U3"/>
    <mergeCell ref="L11:U11"/>
    <mergeCell ref="B8:J8"/>
    <mergeCell ref="B19:E19"/>
    <mergeCell ref="B32:C32"/>
    <mergeCell ref="B28:E28"/>
    <mergeCell ref="B11:E11"/>
    <mergeCell ref="B12:C12"/>
    <mergeCell ref="G11:H11"/>
    <mergeCell ref="B13:B15"/>
    <mergeCell ref="C13:C15"/>
  </mergeCells>
  <phoneticPr fontId="31" type="noConversion"/>
  <conditionalFormatting sqref="E12">
    <cfRule type="cellIs" dxfId="4" priority="12" operator="greaterThan">
      <formula>0.05</formula>
    </cfRule>
  </conditionalFormatting>
  <conditionalFormatting sqref="E21">
    <cfRule type="cellIs" dxfId="3" priority="13" operator="lessThan">
      <formula>0.7</formula>
    </cfRule>
  </conditionalFormatting>
  <conditionalFormatting sqref="E37">
    <cfRule type="cellIs" dxfId="2" priority="4" operator="lessThan">
      <formula>0.7</formula>
    </cfRule>
  </conditionalFormatting>
  <conditionalFormatting sqref="H12">
    <cfRule type="cellIs" dxfId="1" priority="15" operator="greaterThan">
      <formula>$H$13</formula>
    </cfRule>
  </conditionalFormatting>
  <conditionalFormatting sqref="M12">
    <cfRule type="cellIs" dxfId="0" priority="1" operator="greaterThan">
      <formula>$H$13</formula>
    </cfRule>
  </conditionalFormatting>
  <hyperlinks>
    <hyperlink ref="G21" r:id="rId1" xr:uid="{5995A983-D1B0-40D2-8203-78955FBF46F9}"/>
  </hyperlinks>
  <pageMargins left="0.28999999999999998" right="0.24" top="0.36" bottom="0.4" header="0.3" footer="0.3"/>
  <pageSetup paperSize="9" scale="62" orientation="portrait" r:id="rId2"/>
  <rowBreaks count="1" manualBreakCount="1">
    <brk id="41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23907E303B24DB19A7F1D8E37E60E" ma:contentTypeVersion="6" ma:contentTypeDescription="Create a new document." ma:contentTypeScope="" ma:versionID="0ff42e8794e25340ff3a8c88da652b85">
  <xsd:schema xmlns:xsd="http://www.w3.org/2001/XMLSchema" xmlns:xs="http://www.w3.org/2001/XMLSchema" xmlns:p="http://schemas.microsoft.com/office/2006/metadata/properties" xmlns:ns2="4df88d3b-a529-43aa-af86-afa8016ae9e9" xmlns:ns3="c316f646-2179-43a7-ba72-ac973ce424c0" targetNamespace="http://schemas.microsoft.com/office/2006/metadata/properties" ma:root="true" ma:fieldsID="6a13bc417f624dabd8baf91476b73f22" ns2:_="" ns3:_="">
    <xsd:import namespace="4df88d3b-a529-43aa-af86-afa8016ae9e9"/>
    <xsd:import namespace="c316f646-2179-43a7-ba72-ac973ce424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8d3b-a529-43aa-af86-afa8016ae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6f646-2179-43a7-ba72-ac973ce42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4C50F7-C486-4EFF-B303-6B6640CB25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69451-232B-4951-A1C9-B68533FA5387}">
  <ds:schemaRefs>
    <ds:schemaRef ds:uri="http://schemas.openxmlformats.org/package/2006/metadata/core-properties"/>
    <ds:schemaRef ds:uri="http://purl.org/dc/terms/"/>
    <ds:schemaRef ds:uri="0d077e65-fe4d-48a9-8ecd-4c44f53bb8b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ea9c8951-4b99-4be6-909f-4ac9c7a021a0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AB4510B-B0A9-4A2F-848E-1CD3C840E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Informations générales</vt:lpstr>
      <vt:lpstr>Plan plaque - Saisie lectures</vt:lpstr>
      <vt:lpstr>Résultats</vt:lpstr>
      <vt:lpstr>Résultats!A</vt:lpstr>
      <vt:lpstr>Résultats!ABS_LOD</vt:lpstr>
      <vt:lpstr>Résultats!ABS_LOQ</vt:lpstr>
      <vt:lpstr>Résultats!COEFF_A</vt:lpstr>
      <vt:lpstr>Résultats!COEFF_B</vt:lpstr>
      <vt:lpstr>Résultats!COEFF_C</vt:lpstr>
      <vt:lpstr>Résultats!NSB</vt:lpstr>
      <vt:lpstr>Résultats!SATURATION</vt:lpstr>
      <vt:lpstr>'Informations générales'!Zone_d_impression</vt:lpstr>
      <vt:lpstr>'Plan plaque - Saisie lectures'!Zone_d_impression</vt:lpstr>
      <vt:lpstr>Résultats!Zone_d_impression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2024-06-11T11:46:35Z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0x010100FB223907E303B24DB19A7F1D8E37E60E</vt:lpwstr>
  </property>
  <property fmtid="{D5CDD505-2E9C-101B-9397-08002B2CF9AE}" pid="3" name="MediaServiceImageTags">
    <vt:lpwstr/>
  </property>
</Properties>
</file>