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/>
  <xr:revisionPtr revIDLastSave="0" documentId="13_ncr:1_{6431F3BE-5BC3-4AB7-82BE-AA60463A346D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General Information" sheetId="18" r:id="rId1"/>
    <sheet name="Plate Plan-OD input" sheetId="16" r:id="rId2"/>
    <sheet name="Results" sheetId="17" r:id="rId3"/>
  </sheets>
  <definedNames>
    <definedName name="A" localSheetId="2">Results!$E$28</definedName>
    <definedName name="A">#REF!</definedName>
    <definedName name="ABS_LOD" localSheetId="2">Results!$AN$21</definedName>
    <definedName name="ABS_LOD">#REF!</definedName>
    <definedName name="ABS_LOQ" localSheetId="2">Results!$AN$22</definedName>
    <definedName name="ABS_LOQ">#REF!</definedName>
    <definedName name="COEFF_A" localSheetId="2">Results!$E$28</definedName>
    <definedName name="COEFF_A">#REF!</definedName>
    <definedName name="COEFF_B" localSheetId="2">Results!$E$29</definedName>
    <definedName name="COEFF_B">#REF!</definedName>
    <definedName name="COEFF_C" localSheetId="2">Results!$E$30</definedName>
    <definedName name="COEFF_C">#REF!</definedName>
    <definedName name="NSB" localSheetId="2">Results!$AN$19</definedName>
    <definedName name="NSB">#REF!</definedName>
    <definedName name="SATURATION" localSheetId="2">Results!$H$14</definedName>
    <definedName name="SATURATION">#REF!</definedName>
    <definedName name="_xlnm.Print_Area" localSheetId="0">'General Information'!$A$2:$B$24</definedName>
    <definedName name="_xlnm.Print_Area" localSheetId="1">'Plate Plan-OD input'!$A$1:$P$67</definedName>
    <definedName name="_xlnm.Print_Area" localSheetId="2">Results!$A$1:$K$80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6" l="1"/>
  <c r="M36" i="16"/>
  <c r="L36" i="16"/>
  <c r="K36" i="16"/>
  <c r="J36" i="16"/>
  <c r="I36" i="16"/>
  <c r="H36" i="16"/>
  <c r="G36" i="16"/>
  <c r="F36" i="16"/>
  <c r="E36" i="16"/>
  <c r="D36" i="16"/>
  <c r="C36" i="16"/>
  <c r="AL24" i="17" l="1"/>
  <c r="C14" i="17" s="1"/>
  <c r="AL25" i="17"/>
  <c r="C15" i="17" s="1"/>
  <c r="AL26" i="17"/>
  <c r="C16" i="17" s="1"/>
  <c r="AL23" i="17"/>
  <c r="C13" i="17" s="1"/>
  <c r="AL20" i="17"/>
  <c r="B14" i="17" s="1"/>
  <c r="AL21" i="17"/>
  <c r="B15" i="17" s="1"/>
  <c r="AL22" i="17"/>
  <c r="B16" i="17" s="1"/>
  <c r="AL19" i="17"/>
  <c r="B13" i="17" s="1"/>
  <c r="I6" i="17" l="1"/>
  <c r="I5" i="17"/>
  <c r="C7" i="17"/>
  <c r="C6" i="17"/>
  <c r="AH37" i="17"/>
  <c r="E37" i="17" s="1"/>
  <c r="AI37" i="17"/>
  <c r="F37" i="17" s="1"/>
  <c r="G37" i="17" l="1"/>
  <c r="AJ24" i="17"/>
  <c r="D25" i="17" s="1"/>
  <c r="AI24" i="17"/>
  <c r="C25" i="17" s="1"/>
  <c r="D74" i="17" l="1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AJ23" i="17" l="1"/>
  <c r="D24" i="17" s="1"/>
  <c r="AI23" i="17"/>
  <c r="C24" i="17" s="1"/>
  <c r="AJ22" i="17"/>
  <c r="D23" i="17" s="1"/>
  <c r="AJ21" i="17"/>
  <c r="D22" i="17" s="1"/>
  <c r="AI22" i="17"/>
  <c r="C23" i="17" s="1"/>
  <c r="AI21" i="17"/>
  <c r="C22" i="17" s="1"/>
  <c r="AJ20" i="17"/>
  <c r="D21" i="17" s="1"/>
  <c r="AI20" i="17"/>
  <c r="C21" i="17" s="1"/>
  <c r="AJ19" i="17"/>
  <c r="D20" i="17" s="1"/>
  <c r="AI19" i="17"/>
  <c r="C20" i="17" s="1"/>
  <c r="H14" i="17" l="1"/>
  <c r="H13" i="17"/>
  <c r="E20" i="17"/>
  <c r="E22" i="17"/>
  <c r="E24" i="17"/>
  <c r="E23" i="17"/>
  <c r="E25" i="17"/>
  <c r="E21" i="17"/>
  <c r="AH74" i="17" l="1"/>
  <c r="AH73" i="17"/>
  <c r="AH72" i="17"/>
  <c r="AI74" i="17"/>
  <c r="F74" i="17" s="1"/>
  <c r="AI73" i="17"/>
  <c r="F73" i="17" s="1"/>
  <c r="AI72" i="17"/>
  <c r="F72" i="17" s="1"/>
  <c r="AI71" i="17"/>
  <c r="F71" i="17" s="1"/>
  <c r="AH71" i="17"/>
  <c r="AJ71" i="17" s="1"/>
  <c r="AI70" i="17"/>
  <c r="F70" i="17" s="1"/>
  <c r="AI69" i="17"/>
  <c r="F69" i="17" s="1"/>
  <c r="AI68" i="17"/>
  <c r="F68" i="17" s="1"/>
  <c r="AI67" i="17"/>
  <c r="F67" i="17" s="1"/>
  <c r="AH70" i="17"/>
  <c r="AH69" i="17"/>
  <c r="AH68" i="17"/>
  <c r="AH67" i="17"/>
  <c r="AJ67" i="17" s="1"/>
  <c r="AI66" i="17"/>
  <c r="F66" i="17" s="1"/>
  <c r="AI65" i="17"/>
  <c r="F65" i="17" s="1"/>
  <c r="AI64" i="17"/>
  <c r="F64" i="17" s="1"/>
  <c r="AI63" i="17"/>
  <c r="F63" i="17" s="1"/>
  <c r="AH66" i="17"/>
  <c r="AH65" i="17"/>
  <c r="AH64" i="17"/>
  <c r="AH63" i="17"/>
  <c r="AJ63" i="17" s="1"/>
  <c r="AI62" i="17"/>
  <c r="F62" i="17" s="1"/>
  <c r="AI61" i="17"/>
  <c r="F61" i="17" s="1"/>
  <c r="AI60" i="17"/>
  <c r="F60" i="17" s="1"/>
  <c r="AI59" i="17"/>
  <c r="F59" i="17" s="1"/>
  <c r="AH62" i="17"/>
  <c r="AJ62" i="17" s="1"/>
  <c r="AH61" i="17"/>
  <c r="AH60" i="17"/>
  <c r="AH59" i="17"/>
  <c r="AJ59" i="17" s="1"/>
  <c r="AI58" i="17"/>
  <c r="F58" i="17" s="1"/>
  <c r="AI57" i="17"/>
  <c r="F57" i="17" s="1"/>
  <c r="AI56" i="17"/>
  <c r="F56" i="17" s="1"/>
  <c r="AI55" i="17"/>
  <c r="F55" i="17" s="1"/>
  <c r="AH55" i="17"/>
  <c r="AJ55" i="17" s="1"/>
  <c r="AH58" i="17"/>
  <c r="AH57" i="17"/>
  <c r="AH56" i="17"/>
  <c r="AI54" i="17"/>
  <c r="F54" i="17" s="1"/>
  <c r="AH54" i="17"/>
  <c r="AJ54" i="17" s="1"/>
  <c r="AI53" i="17"/>
  <c r="F53" i="17" s="1"/>
  <c r="AH53" i="17"/>
  <c r="AI52" i="17"/>
  <c r="F52" i="17" s="1"/>
  <c r="AH52" i="17"/>
  <c r="AI51" i="17"/>
  <c r="F51" i="17" s="1"/>
  <c r="AH51" i="17"/>
  <c r="AI50" i="17"/>
  <c r="F50" i="17" s="1"/>
  <c r="AH50" i="17"/>
  <c r="AJ50" i="17" s="1"/>
  <c r="AI49" i="17"/>
  <c r="F49" i="17" s="1"/>
  <c r="AH49" i="17"/>
  <c r="AI48" i="17"/>
  <c r="F48" i="17" s="1"/>
  <c r="AH48" i="17"/>
  <c r="AI47" i="17"/>
  <c r="F47" i="17" s="1"/>
  <c r="AH47" i="17"/>
  <c r="AI46" i="17"/>
  <c r="F46" i="17" s="1"/>
  <c r="AH46" i="17"/>
  <c r="AJ46" i="17" s="1"/>
  <c r="AI45" i="17"/>
  <c r="F45" i="17" s="1"/>
  <c r="AH45" i="17"/>
  <c r="AI44" i="17"/>
  <c r="F44" i="17" s="1"/>
  <c r="AH44" i="17"/>
  <c r="AI43" i="17"/>
  <c r="F43" i="17" s="1"/>
  <c r="AH43" i="17"/>
  <c r="AI42" i="17"/>
  <c r="F42" i="17" s="1"/>
  <c r="AH42" i="17"/>
  <c r="AI41" i="17"/>
  <c r="F41" i="17" s="1"/>
  <c r="AH41" i="17"/>
  <c r="AI40" i="17"/>
  <c r="F40" i="17" s="1"/>
  <c r="AH40" i="17"/>
  <c r="AI39" i="17"/>
  <c r="F39" i="17" s="1"/>
  <c r="AH39" i="17"/>
  <c r="AI38" i="17"/>
  <c r="F38" i="17" s="1"/>
  <c r="AH38" i="17"/>
  <c r="AJ70" i="17" l="1"/>
  <c r="AJ66" i="17"/>
  <c r="AJ72" i="17"/>
  <c r="AJ73" i="17"/>
  <c r="AJ74" i="17"/>
  <c r="AJ56" i="17"/>
  <c r="AJ57" i="17"/>
  <c r="AJ60" i="17"/>
  <c r="AJ64" i="17"/>
  <c r="AJ68" i="17"/>
  <c r="AJ44" i="17"/>
  <c r="AJ48" i="17"/>
  <c r="AJ52" i="17"/>
  <c r="AJ58" i="17"/>
  <c r="AJ61" i="17"/>
  <c r="AJ65" i="17"/>
  <c r="AJ69" i="17"/>
  <c r="AJ41" i="17"/>
  <c r="AJ45" i="17"/>
  <c r="AJ49" i="17"/>
  <c r="AJ53" i="17"/>
  <c r="AJ47" i="17"/>
  <c r="AJ42" i="17"/>
  <c r="E39" i="17"/>
  <c r="G39" i="17" s="1"/>
  <c r="H39" i="17" s="1"/>
  <c r="E41" i="17"/>
  <c r="G41" i="17" s="1"/>
  <c r="H41" i="17" s="1"/>
  <c r="E45" i="17"/>
  <c r="G45" i="17" s="1"/>
  <c r="H45" i="17" s="1"/>
  <c r="E49" i="17"/>
  <c r="G49" i="17" s="1"/>
  <c r="H49" i="17" s="1"/>
  <c r="E51" i="17"/>
  <c r="G51" i="17" s="1"/>
  <c r="E56" i="17"/>
  <c r="G56" i="17" s="1"/>
  <c r="H56" i="17" s="1"/>
  <c r="E59" i="17"/>
  <c r="G59" i="17" s="1"/>
  <c r="H59" i="17" s="1"/>
  <c r="E63" i="17"/>
  <c r="G63" i="17" s="1"/>
  <c r="H63" i="17" s="1"/>
  <c r="E71" i="17"/>
  <c r="G71" i="17" s="1"/>
  <c r="H71" i="17" s="1"/>
  <c r="E57" i="17"/>
  <c r="G57" i="17" s="1"/>
  <c r="H57" i="17" s="1"/>
  <c r="E64" i="17"/>
  <c r="G64" i="17" s="1"/>
  <c r="H64" i="17" s="1"/>
  <c r="E68" i="17"/>
  <c r="G68" i="17" s="1"/>
  <c r="H68" i="17" s="1"/>
  <c r="E72" i="17"/>
  <c r="G72" i="17" s="1"/>
  <c r="H72" i="17" s="1"/>
  <c r="E40" i="17"/>
  <c r="G40" i="17" s="1"/>
  <c r="H40" i="17" s="1"/>
  <c r="E42" i="17"/>
  <c r="G42" i="17" s="1"/>
  <c r="H42" i="17" s="1"/>
  <c r="E44" i="17"/>
  <c r="G44" i="17" s="1"/>
  <c r="H44" i="17" s="1"/>
  <c r="E46" i="17"/>
  <c r="G46" i="17" s="1"/>
  <c r="H46" i="17" s="1"/>
  <c r="E48" i="17"/>
  <c r="G48" i="17" s="1"/>
  <c r="H48" i="17" s="1"/>
  <c r="E50" i="17"/>
  <c r="G50" i="17" s="1"/>
  <c r="H50" i="17" s="1"/>
  <c r="E52" i="17"/>
  <c r="G52" i="17" s="1"/>
  <c r="H52" i="17" s="1"/>
  <c r="E54" i="17"/>
  <c r="G54" i="17" s="1"/>
  <c r="H54" i="17" s="1"/>
  <c r="E58" i="17"/>
  <c r="G58" i="17" s="1"/>
  <c r="H58" i="17" s="1"/>
  <c r="E61" i="17"/>
  <c r="G61" i="17" s="1"/>
  <c r="H61" i="17" s="1"/>
  <c r="E65" i="17"/>
  <c r="G65" i="17" s="1"/>
  <c r="H65" i="17" s="1"/>
  <c r="E69" i="17"/>
  <c r="G69" i="17" s="1"/>
  <c r="H69" i="17" s="1"/>
  <c r="E73" i="17"/>
  <c r="G73" i="17" s="1"/>
  <c r="H73" i="17" s="1"/>
  <c r="E43" i="17"/>
  <c r="G43" i="17" s="1"/>
  <c r="H43" i="17" s="1"/>
  <c r="E47" i="17"/>
  <c r="G47" i="17" s="1"/>
  <c r="H47" i="17" s="1"/>
  <c r="E53" i="17"/>
  <c r="G53" i="17" s="1"/>
  <c r="H53" i="17" s="1"/>
  <c r="E67" i="17"/>
  <c r="G67" i="17" s="1"/>
  <c r="H67" i="17" s="1"/>
  <c r="E55" i="17"/>
  <c r="G55" i="17" s="1"/>
  <c r="H55" i="17" s="1"/>
  <c r="E62" i="17"/>
  <c r="G62" i="17" s="1"/>
  <c r="H62" i="17" s="1"/>
  <c r="E66" i="17"/>
  <c r="G66" i="17" s="1"/>
  <c r="H66" i="17" s="1"/>
  <c r="E70" i="17"/>
  <c r="G70" i="17" s="1"/>
  <c r="H70" i="17" s="1"/>
  <c r="E74" i="17"/>
  <c r="G74" i="17" s="1"/>
  <c r="H74" i="17" s="1"/>
  <c r="E60" i="17"/>
  <c r="G60" i="17" s="1"/>
  <c r="H60" i="17" s="1"/>
  <c r="E38" i="17"/>
  <c r="G38" i="17" s="1"/>
  <c r="AJ43" i="17" l="1"/>
  <c r="AH19" i="17"/>
  <c r="AN20" i="17"/>
  <c r="E13" i="17" s="1"/>
  <c r="AN19" i="17"/>
  <c r="E12" i="17" s="1"/>
  <c r="H51" i="17" s="1"/>
  <c r="AH24" i="17" l="1"/>
  <c r="AH22" i="17"/>
  <c r="AH23" i="17"/>
  <c r="AH20" i="17"/>
  <c r="AH21" i="17"/>
  <c r="AK19" i="17"/>
  <c r="AK22" i="17"/>
  <c r="AK23" i="17"/>
  <c r="AK21" i="17"/>
  <c r="AK20" i="17"/>
  <c r="AK25" i="17"/>
  <c r="AK24" i="17"/>
  <c r="AN22" i="17"/>
  <c r="E15" i="17" s="1"/>
  <c r="AN21" i="17"/>
  <c r="E14" i="17" s="1"/>
  <c r="E30" i="17" l="1"/>
  <c r="E31" i="17"/>
  <c r="E28" i="17"/>
  <c r="E29" i="17"/>
  <c r="AJ51" i="17" s="1"/>
  <c r="H12" i="17" l="1"/>
  <c r="AJ38" i="17"/>
  <c r="AJ40" i="17"/>
  <c r="AJ39" i="17"/>
  <c r="AJ37" i="17"/>
  <c r="H38" i="17" l="1"/>
  <c r="H37" i="17"/>
  <c r="C5" i="17"/>
</calcChain>
</file>

<file path=xl/sharedStrings.xml><?xml version="1.0" encoding="utf-8"?>
<sst xmlns="http://schemas.openxmlformats.org/spreadsheetml/2006/main" count="145" uniqueCount="126">
  <si>
    <t>A</t>
  </si>
  <si>
    <t>B</t>
  </si>
  <si>
    <t>C</t>
  </si>
  <si>
    <t>D</t>
  </si>
  <si>
    <t>E</t>
  </si>
  <si>
    <t>F</t>
  </si>
  <si>
    <t>G</t>
  </si>
  <si>
    <t>H</t>
  </si>
  <si>
    <t>R²</t>
  </si>
  <si>
    <t>LOD (pg/mL) =</t>
  </si>
  <si>
    <t>LOQ (pg/mL) =</t>
  </si>
  <si>
    <t>STANDARDS</t>
  </si>
  <si>
    <t>STD 500</t>
  </si>
  <si>
    <t>STD 250</t>
  </si>
  <si>
    <t>STD 125</t>
  </si>
  <si>
    <t>STD 31,25</t>
  </si>
  <si>
    <t>STD 15,6</t>
  </si>
  <si>
    <t>STD 62,5</t>
  </si>
  <si>
    <t>STD 0</t>
  </si>
  <si>
    <t>Gamme standard</t>
  </si>
  <si>
    <t xml:space="preserve">Date </t>
  </si>
  <si>
    <t>Date</t>
  </si>
  <si>
    <t>Moy + 3 ET =</t>
  </si>
  <si>
    <t>Moy + 10 ET =</t>
  </si>
  <si>
    <t>Ecart type ET =</t>
  </si>
  <si>
    <t xml:space="preserve">Validation : </t>
  </si>
  <si>
    <t>Moyenne (DO) =</t>
  </si>
  <si>
    <t>Date </t>
  </si>
  <si>
    <t xml:space="preserve">
</t>
  </si>
  <si>
    <t>Page 1/3</t>
  </si>
  <si>
    <t>Page 3/3</t>
  </si>
  <si>
    <t>Page 2/3</t>
  </si>
  <si>
    <t xml:space="preserve">Quantitative Ricin ELISA eZYDIAG® </t>
  </si>
  <si>
    <t>Operator</t>
  </si>
  <si>
    <t>Opening date of the kit and reagents</t>
  </si>
  <si>
    <t>Number of previous uses of the kit</t>
  </si>
  <si>
    <t>Washer (brand, model)</t>
  </si>
  <si>
    <t>Compliance with washing protocols*: yes/no</t>
  </si>
  <si>
    <t>Protocol end time </t>
  </si>
  <si>
    <t>Laboratory temperature</t>
  </si>
  <si>
    <t xml:space="preserve"> Laboratory</t>
  </si>
  <si>
    <t xml:space="preserve"> REMARKS</t>
  </si>
  <si>
    <t xml:space="preserve">Quantitative Ricin ELISA  eZYDIAG® </t>
  </si>
  <si>
    <t xml:space="preserve">Laboratory </t>
  </si>
  <si>
    <t>(yyyy/mm/dd)</t>
  </si>
  <si>
    <t xml:space="preserve">Operator </t>
  </si>
  <si>
    <t>Batch Kit</t>
  </si>
  <si>
    <t xml:space="preserve"> PLATE PLAN</t>
  </si>
  <si>
    <t xml:space="preserve"> ENTER THE IDENTIFIER OF EACH OF YOUR SAMPLES IN THE BOXES</t>
  </si>
  <si>
    <t>Sample N°1</t>
  </si>
  <si>
    <t>Sample N°2</t>
  </si>
  <si>
    <t>Sample  N°3</t>
  </si>
  <si>
    <t>Sample N°4</t>
  </si>
  <si>
    <t>Sample N°5</t>
  </si>
  <si>
    <t>Sample N°6</t>
  </si>
  <si>
    <t>Sample N°7</t>
  </si>
  <si>
    <t>Sample N°8</t>
  </si>
  <si>
    <t>Sample N°9</t>
  </si>
  <si>
    <t>Sample N°10</t>
  </si>
  <si>
    <t>Sample N°11</t>
  </si>
  <si>
    <t>Sample N°12</t>
  </si>
  <si>
    <t>Sample N°13</t>
  </si>
  <si>
    <t>Sample N°14</t>
  </si>
  <si>
    <t>Sample N°15</t>
  </si>
  <si>
    <t>Sample N°16</t>
  </si>
  <si>
    <t>Sample N°17</t>
  </si>
  <si>
    <t>Sample N°18</t>
  </si>
  <si>
    <t>Sample N°19</t>
  </si>
  <si>
    <t>Sample N°20</t>
  </si>
  <si>
    <t>Sample N°21</t>
  </si>
  <si>
    <t>Sample N°22</t>
  </si>
  <si>
    <t>Sample N°23</t>
  </si>
  <si>
    <t>Sample N°24</t>
  </si>
  <si>
    <t>Sample N°25</t>
  </si>
  <si>
    <t>Sample N°26</t>
  </si>
  <si>
    <t>Sample N°27</t>
  </si>
  <si>
    <t>Sample N°28</t>
  </si>
  <si>
    <t>Sample N°29</t>
  </si>
  <si>
    <t>Sample N°30</t>
  </si>
  <si>
    <t>Sample N°31</t>
  </si>
  <si>
    <t>Sample N°32</t>
  </si>
  <si>
    <t>Sample N°33</t>
  </si>
  <si>
    <t>Sample N°34</t>
  </si>
  <si>
    <t>Sample N°35</t>
  </si>
  <si>
    <t>Sample N°36</t>
  </si>
  <si>
    <t>Sample N°37</t>
  </si>
  <si>
    <t>Sample N°38</t>
  </si>
  <si>
    <t>Experimental data to be entered in Absorbance Unit = (DO 450 nm) - (DO 630 or 620 nm)</t>
  </si>
  <si>
    <t>(Respect the plate plan defined above)</t>
  </si>
  <si>
    <t>REMARKS/OBSERVATIONS</t>
  </si>
  <si>
    <t>Laboratory</t>
  </si>
  <si>
    <t>Kit  Batch</t>
  </si>
  <si>
    <t>QUANTITATIVE PROTOCOL</t>
  </si>
  <si>
    <r>
      <t xml:space="preserve">Standards 0 
</t>
    </r>
    <r>
      <rPr>
        <sz val="12"/>
        <color theme="1"/>
        <rFont val="Calibri"/>
        <family val="2"/>
        <scheme val="minor"/>
      </rPr>
      <t>Non-specific binding</t>
    </r>
  </si>
  <si>
    <t>Abs (OD)</t>
  </si>
  <si>
    <t>Mean (OD) =</t>
  </si>
  <si>
    <t>Standard Deviation SD =</t>
  </si>
  <si>
    <t>Mean + 3 SD =</t>
  </si>
  <si>
    <t>Mean + 10 SD =</t>
  </si>
  <si>
    <t>Ricin (pg/mL)</t>
  </si>
  <si>
    <t>Abs 1 (OD)</t>
  </si>
  <si>
    <t>Abs 2 (OD)</t>
  </si>
  <si>
    <t>Mean (OD)</t>
  </si>
  <si>
    <t>Calculation of detection limits and quantification</t>
  </si>
  <si>
    <t>Saturation (OD) =</t>
  </si>
  <si>
    <t xml:space="preserve">    Detection limit</t>
  </si>
  <si>
    <t xml:space="preserve">   Limit of quantification</t>
  </si>
  <si>
    <t xml:space="preserve">  Saturation signal</t>
  </si>
  <si>
    <r>
      <t>Calibration curve parameters (y =  Ax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+Bx+C)</t>
    </r>
  </si>
  <si>
    <t>Correlation coefficient</t>
  </si>
  <si>
    <t>Sample</t>
  </si>
  <si>
    <t>Operator Visa :</t>
  </si>
  <si>
    <t>Invalid Result (LOD&gt;LOQ)</t>
  </si>
  <si>
    <t>Out of range</t>
  </si>
  <si>
    <t>Negative (&lt;LOD)</t>
  </si>
  <si>
    <t>Invalid Result  (STD500 &lt;0.7)</t>
  </si>
  <si>
    <t>Invalid Result (STD0 &gt; 0.05)</t>
  </si>
  <si>
    <t>Positive non quantifiable (&lt;LOQ)</t>
  </si>
  <si>
    <t>Sample Results</t>
  </si>
  <si>
    <r>
      <t xml:space="preserve">Results  
</t>
    </r>
    <r>
      <rPr>
        <b/>
        <i/>
        <sz val="11"/>
        <color theme="1"/>
        <rFont val="Calibri"/>
        <family val="2"/>
        <scheme val="minor"/>
      </rPr>
      <t>(concentration in the well pg/mL)</t>
    </r>
  </si>
  <si>
    <t>Reader (brand, model)</t>
  </si>
  <si>
    <t>Shaker (brand, model)</t>
  </si>
  <si>
    <t xml:space="preserve">Protocol start time </t>
  </si>
  <si>
    <t>Expiry date</t>
  </si>
  <si>
    <t>Expiry  Date</t>
  </si>
  <si>
    <t>V-EN-20240416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</si>
</sst>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00"/>
    <numFmt numFmtId="166" formatCode="0.0"/>
    <numFmt numFmtId="167" formatCode="0.0000"/>
  </numFmts>
  <fonts count="3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12"/>
      <name val="Arial"/>
      <family val="2"/>
    </font>
    <font>
      <b/>
      <i/>
      <sz val="16"/>
      <color rgb="FFFF0000"/>
      <name val="Calibri"/>
      <family val="2"/>
      <scheme val="minor"/>
    </font>
    <font>
      <b/>
      <i/>
      <sz val="18"/>
      <color theme="4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theme="0"/>
      <name val="Segoe UI"/>
      <family val="2"/>
    </font>
    <font>
      <b/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rgb="FFD6FFC1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03">
    <xf numFmtId="0" fontId="0" fillId="0" borderId="0" xfId="0"/>
    <xf numFmtId="0" fontId="0" fillId="3" borderId="14" xfId="0" applyFill="1" applyBorder="1"/>
    <xf numFmtId="0" fontId="0" fillId="3" borderId="0" xfId="0" applyFill="1"/>
    <xf numFmtId="0" fontId="1" fillId="3" borderId="0" xfId="0" applyFont="1" applyFill="1"/>
    <xf numFmtId="0" fontId="3" fillId="3" borderId="0" xfId="0" applyFont="1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3" borderId="17" xfId="0" applyFill="1" applyBorder="1"/>
    <xf numFmtId="2" fontId="0" fillId="3" borderId="17" xfId="0" applyNumberForma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1" fontId="0" fillId="0" borderId="5" xfId="0" applyNumberFormat="1" applyBorder="1" applyAlignment="1">
      <alignment horizontal="center"/>
    </xf>
    <xf numFmtId="2" fontId="0" fillId="0" borderId="30" xfId="3" applyNumberFormat="1" applyFont="1" applyFill="1" applyBorder="1" applyAlignment="1">
      <alignment horizontal="center"/>
    </xf>
    <xf numFmtId="166" fontId="0" fillId="3" borderId="15" xfId="0" applyNumberFormat="1" applyFill="1" applyBorder="1" applyAlignment="1">
      <alignment horizontal="center" vertical="center"/>
    </xf>
    <xf numFmtId="166" fontId="0" fillId="3" borderId="18" xfId="0" applyNumberForma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0" fillId="3" borderId="0" xfId="0" applyFont="1" applyFill="1"/>
    <xf numFmtId="0" fontId="0" fillId="5" borderId="31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right"/>
    </xf>
    <xf numFmtId="0" fontId="0" fillId="5" borderId="14" xfId="0" applyFill="1" applyBorder="1" applyAlignment="1">
      <alignment horizontal="right"/>
    </xf>
    <xf numFmtId="0" fontId="12" fillId="3" borderId="0" xfId="0" applyFont="1" applyFill="1"/>
    <xf numFmtId="0" fontId="7" fillId="3" borderId="0" xfId="0" applyFont="1" applyFill="1" applyAlignment="1">
      <alignment horizontal="center" vertical="center"/>
    </xf>
    <xf numFmtId="2" fontId="0" fillId="3" borderId="0" xfId="3" applyNumberFormat="1" applyFont="1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3" borderId="0" xfId="0" applyFont="1" applyFill="1"/>
    <xf numFmtId="14" fontId="0" fillId="3" borderId="0" xfId="0" applyNumberFormat="1" applyFill="1" applyAlignment="1">
      <alignment horizontal="center"/>
    </xf>
    <xf numFmtId="0" fontId="4" fillId="3" borderId="0" xfId="0" applyFont="1" applyFill="1"/>
    <xf numFmtId="0" fontId="0" fillId="3" borderId="0" xfId="0" applyFill="1" applyProtection="1">
      <protection locked="0"/>
    </xf>
    <xf numFmtId="0" fontId="25" fillId="3" borderId="0" xfId="0" applyFont="1" applyFill="1"/>
    <xf numFmtId="0" fontId="0" fillId="3" borderId="40" xfId="0" applyFill="1" applyBorder="1" applyAlignment="1" applyProtection="1">
      <alignment horizontal="center" vertical="center"/>
      <protection locked="0"/>
    </xf>
    <xf numFmtId="14" fontId="0" fillId="3" borderId="39" xfId="0" applyNumberForma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14" fontId="0" fillId="3" borderId="0" xfId="0" applyNumberFormat="1" applyFill="1" applyAlignment="1">
      <alignment horizontal="left" vertical="center"/>
    </xf>
    <xf numFmtId="0" fontId="4" fillId="3" borderId="0" xfId="0" applyFont="1" applyFill="1" applyAlignment="1">
      <alignment horizontal="right" vertical="center" wrapText="1"/>
    </xf>
    <xf numFmtId="14" fontId="0" fillId="3" borderId="0" xfId="0" applyNumberForma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14" fontId="16" fillId="3" borderId="39" xfId="0" applyNumberFormat="1" applyFont="1" applyFill="1" applyBorder="1" applyAlignment="1" applyProtection="1">
      <alignment horizontal="left" vertical="center"/>
      <protection locked="0"/>
    </xf>
    <xf numFmtId="0" fontId="16" fillId="3" borderId="39" xfId="0" applyFont="1" applyFill="1" applyBorder="1" applyAlignment="1" applyProtection="1">
      <alignment vertical="center"/>
      <protection locked="0"/>
    </xf>
    <xf numFmtId="0" fontId="27" fillId="3" borderId="0" xfId="0" applyFont="1" applyFill="1" applyAlignment="1">
      <alignment horizontal="center" vertical="center"/>
    </xf>
    <xf numFmtId="0" fontId="0" fillId="3" borderId="40" xfId="0" applyFill="1" applyBorder="1" applyProtection="1">
      <protection locked="0"/>
    </xf>
    <xf numFmtId="0" fontId="0" fillId="3" borderId="40" xfId="0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2" fontId="3" fillId="3" borderId="13" xfId="0" applyNumberFormat="1" applyFont="1" applyFill="1" applyBorder="1" applyAlignment="1">
      <alignment horizontal="center" vertical="center"/>
    </xf>
    <xf numFmtId="11" fontId="0" fillId="3" borderId="0" xfId="0" applyNumberFormat="1" applyFill="1"/>
    <xf numFmtId="0" fontId="4" fillId="6" borderId="43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0" fillId="5" borderId="16" xfId="0" applyFill="1" applyBorder="1" applyAlignment="1">
      <alignment horizontal="right"/>
    </xf>
    <xf numFmtId="166" fontId="28" fillId="0" borderId="5" xfId="0" applyNumberFormat="1" applyFont="1" applyBorder="1" applyAlignment="1">
      <alignment horizontal="center" vertical="center"/>
    </xf>
    <xf numFmtId="0" fontId="29" fillId="3" borderId="0" xfId="0" applyFont="1" applyFill="1"/>
    <xf numFmtId="167" fontId="17" fillId="9" borderId="3" xfId="0" applyNumberFormat="1" applyFont="1" applyFill="1" applyBorder="1" applyAlignment="1" applyProtection="1">
      <alignment horizontal="center" vertical="center"/>
      <protection locked="0"/>
    </xf>
    <xf numFmtId="0" fontId="21" fillId="8" borderId="27" xfId="0" applyFont="1" applyFill="1" applyBorder="1" applyAlignment="1" applyProtection="1">
      <alignment horizontal="center" vertical="center"/>
      <protection locked="0"/>
    </xf>
    <xf numFmtId="0" fontId="21" fillId="8" borderId="7" xfId="0" applyFont="1" applyFill="1" applyBorder="1" applyAlignment="1" applyProtection="1">
      <alignment horizontal="center" vertical="center"/>
      <protection locked="0"/>
    </xf>
    <xf numFmtId="0" fontId="21" fillId="8" borderId="8" xfId="0" applyFont="1" applyFill="1" applyBorder="1" applyAlignment="1" applyProtection="1">
      <alignment horizontal="center" vertical="center"/>
      <protection locked="0"/>
    </xf>
    <xf numFmtId="0" fontId="20" fillId="5" borderId="27" xfId="0" applyFont="1" applyFill="1" applyBorder="1" applyAlignment="1" applyProtection="1">
      <alignment horizontal="center" vertical="center"/>
      <protection locked="0"/>
    </xf>
    <xf numFmtId="0" fontId="20" fillId="5" borderId="36" xfId="0" applyFont="1" applyFill="1" applyBorder="1" applyAlignment="1" applyProtection="1">
      <alignment horizontal="center" vertical="center"/>
      <protection locked="0"/>
    </xf>
    <xf numFmtId="0" fontId="20" fillId="5" borderId="7" xfId="0" applyFont="1" applyFill="1" applyBorder="1" applyAlignment="1" applyProtection="1">
      <alignment horizontal="center" vertical="center"/>
      <protection locked="0"/>
    </xf>
    <xf numFmtId="0" fontId="20" fillId="5" borderId="37" xfId="0" applyFont="1" applyFill="1" applyBorder="1" applyAlignment="1" applyProtection="1">
      <alignment horizontal="center" vertical="center"/>
      <protection locked="0"/>
    </xf>
    <xf numFmtId="0" fontId="20" fillId="5" borderId="8" xfId="0" applyFont="1" applyFill="1" applyBorder="1" applyAlignment="1" applyProtection="1">
      <alignment horizontal="center" vertical="center"/>
      <protection locked="0"/>
    </xf>
    <xf numFmtId="0" fontId="20" fillId="5" borderId="38" xfId="0" applyFont="1" applyFill="1" applyBorder="1" applyAlignment="1" applyProtection="1">
      <alignment horizontal="center" vertical="center"/>
      <protection locked="0"/>
    </xf>
    <xf numFmtId="167" fontId="17" fillId="9" borderId="7" xfId="0" applyNumberFormat="1" applyFont="1" applyFill="1" applyBorder="1" applyAlignment="1" applyProtection="1">
      <alignment horizontal="center" vertical="center"/>
      <protection locked="0"/>
    </xf>
    <xf numFmtId="165" fontId="19" fillId="3" borderId="0" xfId="0" applyNumberFormat="1" applyFont="1" applyFill="1" applyAlignment="1">
      <alignment horizontal="center"/>
    </xf>
    <xf numFmtId="20" fontId="19" fillId="3" borderId="0" xfId="0" applyNumberFormat="1" applyFont="1" applyFill="1"/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/>
    <xf numFmtId="0" fontId="0" fillId="5" borderId="34" xfId="0" applyFill="1" applyBorder="1"/>
    <xf numFmtId="167" fontId="3" fillId="0" borderId="33" xfId="0" applyNumberFormat="1" applyFont="1" applyBorder="1" applyAlignment="1">
      <alignment horizontal="center" vertical="center"/>
    </xf>
    <xf numFmtId="167" fontId="3" fillId="0" borderId="49" xfId="0" applyNumberFormat="1" applyFont="1" applyBorder="1" applyAlignment="1">
      <alignment horizontal="center" vertical="center"/>
    </xf>
    <xf numFmtId="167" fontId="3" fillId="0" borderId="34" xfId="0" applyNumberFormat="1" applyFont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7" fontId="0" fillId="0" borderId="48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0" fillId="3" borderId="1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4" fillId="3" borderId="11" xfId="0" applyFont="1" applyFill="1" applyBorder="1"/>
    <xf numFmtId="0" fontId="0" fillId="3" borderId="12" xfId="0" applyFill="1" applyBorder="1"/>
    <xf numFmtId="0" fontId="9" fillId="3" borderId="0" xfId="0" applyFont="1" applyFill="1"/>
    <xf numFmtId="167" fontId="0" fillId="0" borderId="23" xfId="0" applyNumberFormat="1" applyBorder="1" applyAlignment="1">
      <alignment horizontal="center" vertical="center"/>
    </xf>
    <xf numFmtId="0" fontId="31" fillId="3" borderId="0" xfId="0" applyFont="1" applyFill="1" applyAlignment="1">
      <alignment vertical="center"/>
    </xf>
    <xf numFmtId="2" fontId="19" fillId="3" borderId="0" xfId="0" applyNumberFormat="1" applyFont="1" applyFill="1"/>
    <xf numFmtId="0" fontId="9" fillId="3" borderId="0" xfId="0" applyFont="1" applyFill="1" applyAlignment="1">
      <alignment horizontal="center"/>
    </xf>
    <xf numFmtId="0" fontId="0" fillId="3" borderId="0" xfId="0" applyFill="1" applyAlignment="1">
      <alignment horizontal="right"/>
    </xf>
    <xf numFmtId="49" fontId="0" fillId="0" borderId="23" xfId="0" applyNumberFormat="1" applyBorder="1" applyAlignment="1" applyProtection="1">
      <alignment horizontal="left" vertical="center"/>
      <protection locked="0"/>
    </xf>
    <xf numFmtId="49" fontId="0" fillId="0" borderId="48" xfId="0" applyNumberFormat="1" applyBorder="1" applyAlignment="1" applyProtection="1">
      <alignment horizontal="left" vertical="center"/>
      <protection locked="0"/>
    </xf>
    <xf numFmtId="49" fontId="0" fillId="0" borderId="50" xfId="0" applyNumberFormat="1" applyBorder="1" applyAlignment="1" applyProtection="1">
      <alignment horizontal="left" vertical="center"/>
      <protection locked="0"/>
    </xf>
    <xf numFmtId="0" fontId="0" fillId="3" borderId="0" xfId="0" quotePrefix="1" applyFill="1"/>
    <xf numFmtId="0" fontId="4" fillId="3" borderId="0" xfId="0" quotePrefix="1" applyFont="1" applyFill="1" applyAlignment="1">
      <alignment horizontal="center"/>
    </xf>
    <xf numFmtId="49" fontId="0" fillId="0" borderId="4" xfId="0" applyNumberFormat="1" applyBorder="1" applyAlignment="1" applyProtection="1">
      <alignment horizontal="left" vertical="center"/>
      <protection locked="0"/>
    </xf>
    <xf numFmtId="0" fontId="33" fillId="0" borderId="40" xfId="0" applyFont="1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4" fillId="4" borderId="26" xfId="0" applyFont="1" applyFill="1" applyBorder="1" applyAlignment="1">
      <alignment horizontal="center" vertical="center" wrapText="1"/>
    </xf>
    <xf numFmtId="0" fontId="32" fillId="10" borderId="20" xfId="0" applyFont="1" applyFill="1" applyBorder="1" applyAlignment="1">
      <alignment horizontal="center"/>
    </xf>
    <xf numFmtId="0" fontId="32" fillId="10" borderId="22" xfId="0" applyFont="1" applyFill="1" applyBorder="1" applyAlignment="1">
      <alignment horizontal="center"/>
    </xf>
    <xf numFmtId="49" fontId="0" fillId="0" borderId="16" xfId="0" applyNumberFormat="1" applyBorder="1" applyAlignment="1" applyProtection="1">
      <alignment horizontal="left" vertical="top" wrapText="1"/>
      <protection locked="0"/>
    </xf>
    <xf numFmtId="49" fontId="0" fillId="0" borderId="18" xfId="0" applyNumberFormat="1" applyBorder="1" applyAlignment="1" applyProtection="1">
      <alignment horizontal="left" vertical="top"/>
      <protection locked="0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5" fillId="10" borderId="11" xfId="0" applyFont="1" applyFill="1" applyBorder="1" applyAlignment="1">
      <alignment horizontal="center" vertical="center"/>
    </xf>
    <xf numFmtId="0" fontId="15" fillId="10" borderId="12" xfId="0" applyFont="1" applyFill="1" applyBorder="1" applyAlignment="1">
      <alignment horizontal="center" vertical="center"/>
    </xf>
    <xf numFmtId="0" fontId="15" fillId="10" borderId="13" xfId="0" applyFont="1" applyFill="1" applyBorder="1" applyAlignment="1">
      <alignment horizontal="center" vertical="center"/>
    </xf>
    <xf numFmtId="0" fontId="15" fillId="10" borderId="16" xfId="0" applyFont="1" applyFill="1" applyBorder="1" applyAlignment="1">
      <alignment horizontal="center" vertical="center"/>
    </xf>
    <xf numFmtId="0" fontId="15" fillId="10" borderId="17" xfId="0" applyFont="1" applyFill="1" applyBorder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18" fillId="5" borderId="13" xfId="0" applyFont="1" applyFill="1" applyBorder="1" applyAlignment="1" applyProtection="1">
      <alignment horizontal="center" vertical="center" wrapText="1"/>
      <protection locked="0"/>
    </xf>
    <xf numFmtId="0" fontId="18" fillId="5" borderId="18" xfId="0" applyFont="1" applyFill="1" applyBorder="1" applyAlignment="1" applyProtection="1">
      <alignment horizontal="center" vertical="center" wrapText="1"/>
      <protection locked="0"/>
    </xf>
    <xf numFmtId="0" fontId="18" fillId="5" borderId="6" xfId="0" applyFont="1" applyFill="1" applyBorder="1" applyAlignment="1" applyProtection="1">
      <alignment horizontal="center" vertical="center" wrapText="1"/>
      <protection locked="0"/>
    </xf>
    <xf numFmtId="0" fontId="18" fillId="5" borderId="19" xfId="0" applyFont="1" applyFill="1" applyBorder="1" applyAlignment="1" applyProtection="1">
      <alignment horizontal="center" vertical="center" wrapText="1"/>
      <protection locked="0"/>
    </xf>
    <xf numFmtId="0" fontId="21" fillId="8" borderId="6" xfId="0" applyFont="1" applyFill="1" applyBorder="1" applyAlignment="1">
      <alignment horizontal="center" vertical="center"/>
    </xf>
    <xf numFmtId="0" fontId="21" fillId="8" borderId="19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17" fillId="9" borderId="6" xfId="1" applyNumberFormat="1" applyFont="1" applyFill="1" applyBorder="1" applyAlignment="1">
      <alignment horizontal="center" vertical="center"/>
    </xf>
    <xf numFmtId="165" fontId="17" fillId="9" borderId="35" xfId="1" applyNumberFormat="1" applyFont="1" applyFill="1" applyBorder="1" applyAlignment="1">
      <alignment horizontal="center" vertical="center"/>
    </xf>
    <xf numFmtId="165" fontId="17" fillId="9" borderId="19" xfId="1" applyNumberFormat="1" applyFont="1" applyFill="1" applyBorder="1" applyAlignment="1">
      <alignment horizontal="center" vertical="center"/>
    </xf>
    <xf numFmtId="0" fontId="24" fillId="10" borderId="11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24" fillId="10" borderId="13" xfId="0" applyFont="1" applyFill="1" applyBorder="1" applyAlignment="1">
      <alignment horizontal="center" vertical="center"/>
    </xf>
    <xf numFmtId="0" fontId="24" fillId="10" borderId="16" xfId="0" applyFont="1" applyFill="1" applyBorder="1" applyAlignment="1">
      <alignment horizontal="center" vertical="center"/>
    </xf>
    <xf numFmtId="0" fontId="24" fillId="10" borderId="17" xfId="0" applyFont="1" applyFill="1" applyBorder="1" applyAlignment="1">
      <alignment horizontal="center" vertical="center"/>
    </xf>
    <xf numFmtId="0" fontId="24" fillId="10" borderId="18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/>
    </xf>
    <xf numFmtId="0" fontId="9" fillId="10" borderId="21" xfId="0" applyFont="1" applyFill="1" applyBorder="1" applyAlignment="1">
      <alignment horizontal="center"/>
    </xf>
    <xf numFmtId="0" fontId="9" fillId="10" borderId="22" xfId="0" applyFont="1" applyFill="1" applyBorder="1" applyAlignment="1">
      <alignment horizontal="center"/>
    </xf>
    <xf numFmtId="0" fontId="8" fillId="10" borderId="11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/>
    </xf>
    <xf numFmtId="0" fontId="8" fillId="10" borderId="17" xfId="0" applyFont="1" applyFill="1" applyBorder="1" applyAlignment="1">
      <alignment horizontal="center" vertical="center"/>
    </xf>
    <xf numFmtId="0" fontId="8" fillId="10" borderId="18" xfId="0" applyFont="1" applyFill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/>
    </xf>
    <xf numFmtId="0" fontId="10" fillId="11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30" fillId="10" borderId="11" xfId="0" applyFont="1" applyFill="1" applyBorder="1" applyAlignment="1">
      <alignment horizontal="center" vertical="center"/>
    </xf>
    <xf numFmtId="0" fontId="30" fillId="10" borderId="12" xfId="0" applyFont="1" applyFill="1" applyBorder="1" applyAlignment="1">
      <alignment horizontal="center" vertical="center"/>
    </xf>
    <xf numFmtId="0" fontId="30" fillId="10" borderId="13" xfId="0" applyFont="1" applyFill="1" applyBorder="1" applyAlignment="1">
      <alignment horizontal="center" vertical="center"/>
    </xf>
    <xf numFmtId="0" fontId="30" fillId="10" borderId="16" xfId="0" applyFont="1" applyFill="1" applyBorder="1" applyAlignment="1">
      <alignment horizontal="center" vertical="center"/>
    </xf>
    <xf numFmtId="0" fontId="30" fillId="10" borderId="17" xfId="0" applyFont="1" applyFill="1" applyBorder="1" applyAlignment="1">
      <alignment horizontal="center" vertical="center"/>
    </xf>
    <xf numFmtId="0" fontId="30" fillId="10" borderId="18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35" fillId="3" borderId="0" xfId="0" applyFont="1" applyFill="1"/>
  </cellXfs>
  <cellStyles count="4">
    <cellStyle name="Milliers" xfId="3" builtinId="3"/>
    <cellStyle name="Normal" xfId="0" builtinId="0"/>
    <cellStyle name="Normal 2" xfId="1" xr:uid="{00000000-0005-0000-0000-000002000000}"/>
    <cellStyle name="Pourcentage 2" xfId="2" xr:uid="{00000000-0005-0000-0000-000003000000}"/>
  </cellStyles>
  <dxfs count="11">
    <dxf>
      <font>
        <b val="0"/>
        <i val="0"/>
        <color theme="1"/>
      </font>
    </dxf>
    <dxf>
      <font>
        <b val="0"/>
        <i val="0"/>
        <color rgb="FFC00000"/>
      </font>
    </dxf>
    <dxf>
      <font>
        <color rgb="FFFF0000"/>
      </font>
      <fill>
        <patternFill>
          <bgColor rgb="FFFFFF99"/>
        </patternFill>
      </fill>
    </dxf>
    <dxf>
      <font>
        <b val="0"/>
        <i val="0"/>
        <color rgb="FF7030A0"/>
      </font>
    </dxf>
    <dxf>
      <font>
        <color rgb="FFFF000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99"/>
      <color rgb="FFA7FFFF"/>
      <color rgb="FFFFFF93"/>
      <color rgb="FFFFFF97"/>
      <color rgb="FFD6FFC1"/>
      <color rgb="FFB2FF8B"/>
      <color rgb="FFA8FF7D"/>
      <color rgb="FF9BFF69"/>
      <color rgb="FFFFFF5D"/>
      <color rgb="FFFFFF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400"/>
              <a:t>Standard Curve </a:t>
            </a:r>
            <a:r>
              <a:rPr lang="fr-FR" sz="1400" baseline="0"/>
              <a:t>(analysis range)</a:t>
            </a:r>
            <a:endParaRPr lang="fr-FR" sz="1400"/>
          </a:p>
          <a:p>
            <a:pPr>
              <a:defRPr/>
            </a:pPr>
            <a:r>
              <a:rPr lang="fr-FR" sz="1400">
                <a:solidFill>
                  <a:schemeClr val="tx1"/>
                </a:solidFill>
              </a:rPr>
              <a:t>y = Ax2+Bx+C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Results!$AH$18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</c:marker>
          <c:trendline>
            <c:trendlineType val="poly"/>
            <c:order val="2"/>
            <c:dispRSqr val="0"/>
            <c:dispEq val="0"/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1900265113363021"/>
                  <c:y val="-9.146156084584818E-2"/>
                </c:manualLayout>
              </c:layout>
              <c:numFmt formatCode="General" sourceLinked="0"/>
            </c:trendlineLbl>
          </c:trendline>
          <c:xVal>
            <c:numRef>
              <c:f>Results!$AH$19:$AH$25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Results!$AK$19:$AK$25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E2-43DF-850A-7A575DD79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703672"/>
        <c:axId val="563709944"/>
      </c:scatterChart>
      <c:valAx>
        <c:axId val="563703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Concentration (pg/mL)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63709944"/>
        <c:crosses val="autoZero"/>
        <c:crossBetween val="midCat"/>
      </c:valAx>
      <c:valAx>
        <c:axId val="5637099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Absorbance (AU)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6370367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365495</xdr:colOff>
      <xdr:row>15</xdr:row>
      <xdr:rowOff>44300</xdr:rowOff>
    </xdr:from>
    <xdr:to>
      <xdr:col>9</xdr:col>
      <xdr:colOff>664535</xdr:colOff>
      <xdr:row>30</xdr:row>
      <xdr:rowOff>199358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1174750</xdr:colOff>
      <xdr:row>74</xdr:row>
      <xdr:rowOff>76200</xdr:rowOff>
    </xdr:from>
    <xdr:to>
      <xdr:col>7</xdr:col>
      <xdr:colOff>1479550</xdr:colOff>
      <xdr:row>75</xdr:row>
      <xdr:rowOff>171450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3DFC2A0-7523-06A6-D8E3-7931A4AE57F8}"/>
            </a:ext>
          </a:extLst>
        </xdr:cNvPr>
        <xdr:cNvSpPr txBox="1"/>
      </xdr:nvSpPr>
      <xdr:spPr>
        <a:xfrm>
          <a:off x="3359150" y="14878050"/>
          <a:ext cx="5048250" cy="2857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>
              <a:solidFill>
                <a:srgbClr val="FF0000"/>
              </a:solidFill>
            </a:rPr>
            <a:t>MULTIPLY RESULTS BY 2 TO GET THE FINAL CONCENTRATION IN PATIENT SAMPLES.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B93"/>
  <sheetViews>
    <sheetView view="pageLayout" zoomScaleNormal="70" workbookViewId="0">
      <selection activeCell="B20" sqref="B20"/>
    </sheetView>
  </sheetViews>
  <sheetFormatPr baseColWidth="10" defaultRowHeight="14.5" x14ac:dyDescent="0.35"/>
  <cols>
    <col min="1" max="1" width="41.453125" bestFit="1" customWidth="1"/>
    <col min="2" max="2" width="52.6328125" customWidth="1"/>
    <col min="3" max="28" width="11.453125" style="2"/>
  </cols>
  <sheetData>
    <row r="1" spans="1:28" ht="15" thickBot="1" x14ac:dyDescent="0.4">
      <c r="A1" s="2"/>
      <c r="B1" s="2"/>
    </row>
    <row r="2" spans="1:28" ht="36.5" thickBot="1" x14ac:dyDescent="0.85">
      <c r="A2" s="137" t="s">
        <v>32</v>
      </c>
      <c r="B2" s="138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28" ht="15" thickBot="1" x14ac:dyDescent="0.4">
      <c r="A3" s="2"/>
      <c r="B3" s="2"/>
    </row>
    <row r="4" spans="1:28" s="47" customFormat="1" ht="20.149999999999999" customHeight="1" x14ac:dyDescent="0.35">
      <c r="A4" s="131" t="s">
        <v>40</v>
      </c>
      <c r="B4" s="124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8" s="47" customFormat="1" ht="20.149999999999999" customHeight="1" x14ac:dyDescent="0.35">
      <c r="A5" s="132" t="s">
        <v>27</v>
      </c>
      <c r="B5" s="1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s="47" customFormat="1" ht="20.149999999999999" customHeight="1" x14ac:dyDescent="0.35">
      <c r="A6" s="133" t="s">
        <v>33</v>
      </c>
      <c r="B6" s="125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s="47" customFormat="1" ht="20.149999999999999" customHeight="1" x14ac:dyDescent="0.35">
      <c r="A7" s="132" t="s">
        <v>34</v>
      </c>
      <c r="B7" s="125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s="47" customFormat="1" ht="20.149999999999999" customHeight="1" x14ac:dyDescent="0.35">
      <c r="A8" s="132" t="s">
        <v>35</v>
      </c>
      <c r="B8" s="125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s="47" customFormat="1" ht="20.149999999999999" customHeight="1" x14ac:dyDescent="0.35">
      <c r="A9" s="132" t="s">
        <v>121</v>
      </c>
      <c r="B9" s="125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s="47" customFormat="1" ht="20.149999999999999" customHeight="1" x14ac:dyDescent="0.35">
      <c r="A10" s="132" t="s">
        <v>36</v>
      </c>
      <c r="B10" s="125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s="47" customFormat="1" ht="20.149999999999999" customHeight="1" x14ac:dyDescent="0.35">
      <c r="A11" s="132" t="s">
        <v>37</v>
      </c>
      <c r="B11" s="125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s="47" customFormat="1" ht="20.149999999999999" customHeight="1" x14ac:dyDescent="0.35">
      <c r="A12" s="132" t="s">
        <v>120</v>
      </c>
      <c r="B12" s="125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s="47" customFormat="1" ht="20.149999999999999" customHeight="1" x14ac:dyDescent="0.35">
      <c r="A13" s="132" t="s">
        <v>122</v>
      </c>
      <c r="B13" s="125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s="47" customFormat="1" ht="20.149999999999999" customHeight="1" x14ac:dyDescent="0.35">
      <c r="A14" s="132" t="s">
        <v>38</v>
      </c>
      <c r="B14" s="125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s="47" customFormat="1" ht="20.149999999999999" customHeight="1" x14ac:dyDescent="0.35">
      <c r="A15" s="132" t="s">
        <v>39</v>
      </c>
      <c r="B15" s="1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s="47" customFormat="1" ht="20.149999999999999" customHeight="1" x14ac:dyDescent="0.35">
      <c r="A16" s="134"/>
      <c r="B16" s="1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s="47" customFormat="1" ht="20.149999999999999" customHeight="1" x14ac:dyDescent="0.35">
      <c r="A17" s="134"/>
      <c r="B17" s="1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s="47" customFormat="1" ht="20.149999999999999" customHeight="1" x14ac:dyDescent="0.35">
      <c r="A18" s="134"/>
      <c r="B18" s="1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s="47" customFormat="1" ht="20.149999999999999" customHeight="1" x14ac:dyDescent="0.35">
      <c r="A19" s="134"/>
      <c r="B19" s="1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s="47" customFormat="1" ht="20.149999999999999" customHeight="1" x14ac:dyDescent="0.35">
      <c r="A20" s="134"/>
      <c r="B20" s="1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s="47" customFormat="1" ht="20.149999999999999" customHeight="1" thickBot="1" x14ac:dyDescent="0.4">
      <c r="A21" s="135"/>
      <c r="B21" s="129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s="47" customFormat="1" ht="20.149999999999999" customHeight="1" x14ac:dyDescent="0.35">
      <c r="A22" s="141" t="s">
        <v>41</v>
      </c>
      <c r="B22" s="142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288.75" customHeight="1" thickBot="1" x14ac:dyDescent="0.4">
      <c r="A23" s="139" t="s">
        <v>28</v>
      </c>
      <c r="B23" s="140"/>
    </row>
    <row r="24" spans="1:28" x14ac:dyDescent="0.35">
      <c r="A24" s="123" t="s">
        <v>125</v>
      </c>
      <c r="B24" s="123" t="s">
        <v>29</v>
      </c>
    </row>
    <row r="25" spans="1:28" x14ac:dyDescent="0.35">
      <c r="A25" s="2"/>
      <c r="B25" s="2"/>
    </row>
    <row r="26" spans="1:28" x14ac:dyDescent="0.35">
      <c r="A26" s="2"/>
      <c r="B26" s="2"/>
    </row>
    <row r="27" spans="1:28" x14ac:dyDescent="0.35">
      <c r="A27" s="2"/>
      <c r="B27" s="2"/>
    </row>
    <row r="28" spans="1:28" x14ac:dyDescent="0.35">
      <c r="A28" s="2"/>
      <c r="B28" s="2"/>
    </row>
    <row r="29" spans="1:28" x14ac:dyDescent="0.35">
      <c r="A29" s="2"/>
      <c r="B29" s="2"/>
    </row>
    <row r="30" spans="1:28" x14ac:dyDescent="0.35">
      <c r="A30" s="2"/>
      <c r="B30" s="2"/>
    </row>
    <row r="31" spans="1:28" x14ac:dyDescent="0.35">
      <c r="A31" s="2"/>
      <c r="B31" s="2"/>
    </row>
    <row r="32" spans="1:28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  <row r="45" spans="1:2" x14ac:dyDescent="0.35">
      <c r="A45" s="2"/>
      <c r="B45" s="2"/>
    </row>
    <row r="46" spans="1:2" x14ac:dyDescent="0.35">
      <c r="A46" s="2"/>
      <c r="B46" s="2"/>
    </row>
    <row r="47" spans="1:2" x14ac:dyDescent="0.35">
      <c r="A47" s="2"/>
      <c r="B47" s="2"/>
    </row>
    <row r="48" spans="1:2" x14ac:dyDescent="0.35">
      <c r="A48" s="2"/>
      <c r="B48" s="2"/>
    </row>
    <row r="49" spans="1:2" x14ac:dyDescent="0.35">
      <c r="A49" s="2"/>
      <c r="B49" s="2"/>
    </row>
    <row r="50" spans="1:2" x14ac:dyDescent="0.35">
      <c r="A50" s="2"/>
      <c r="B50" s="2"/>
    </row>
    <row r="51" spans="1:2" x14ac:dyDescent="0.35">
      <c r="A51" s="2"/>
      <c r="B51" s="2"/>
    </row>
    <row r="52" spans="1:2" x14ac:dyDescent="0.35">
      <c r="A52" s="2"/>
      <c r="B52" s="2"/>
    </row>
    <row r="53" spans="1:2" x14ac:dyDescent="0.35">
      <c r="A53" s="2"/>
      <c r="B53" s="2"/>
    </row>
    <row r="54" spans="1:2" x14ac:dyDescent="0.35">
      <c r="A54" s="2"/>
      <c r="B54" s="2"/>
    </row>
    <row r="55" spans="1:2" x14ac:dyDescent="0.35">
      <c r="A55" s="2"/>
      <c r="B55" s="2"/>
    </row>
    <row r="56" spans="1:2" x14ac:dyDescent="0.35">
      <c r="A56" s="2"/>
      <c r="B56" s="2"/>
    </row>
    <row r="57" spans="1:2" x14ac:dyDescent="0.35">
      <c r="A57" s="2"/>
      <c r="B57" s="2"/>
    </row>
    <row r="58" spans="1:2" x14ac:dyDescent="0.35">
      <c r="A58" s="2"/>
      <c r="B58" s="2"/>
    </row>
    <row r="59" spans="1:2" x14ac:dyDescent="0.35">
      <c r="A59" s="2"/>
      <c r="B59" s="2"/>
    </row>
    <row r="60" spans="1:2" x14ac:dyDescent="0.35">
      <c r="A60" s="2"/>
      <c r="B60" s="2"/>
    </row>
    <row r="61" spans="1:2" x14ac:dyDescent="0.35">
      <c r="A61" s="2"/>
      <c r="B61" s="2"/>
    </row>
    <row r="62" spans="1:2" x14ac:dyDescent="0.35">
      <c r="A62" s="2"/>
      <c r="B62" s="2"/>
    </row>
    <row r="63" spans="1:2" x14ac:dyDescent="0.35">
      <c r="A63" s="2"/>
      <c r="B63" s="2"/>
    </row>
    <row r="64" spans="1:2" x14ac:dyDescent="0.35">
      <c r="A64" s="2"/>
      <c r="B64" s="2"/>
    </row>
    <row r="65" spans="1:2" x14ac:dyDescent="0.35">
      <c r="A65" s="2"/>
      <c r="B65" s="2"/>
    </row>
    <row r="66" spans="1:2" x14ac:dyDescent="0.35">
      <c r="A66" s="2"/>
      <c r="B66" s="2"/>
    </row>
    <row r="67" spans="1:2" x14ac:dyDescent="0.35">
      <c r="A67" s="2"/>
      <c r="B67" s="2"/>
    </row>
    <row r="68" spans="1:2" x14ac:dyDescent="0.35">
      <c r="A68" s="2"/>
      <c r="B68" s="2"/>
    </row>
    <row r="69" spans="1:2" x14ac:dyDescent="0.35">
      <c r="A69" s="2"/>
      <c r="B69" s="2"/>
    </row>
    <row r="70" spans="1:2" x14ac:dyDescent="0.35">
      <c r="A70" s="2"/>
      <c r="B70" s="2"/>
    </row>
    <row r="71" spans="1:2" x14ac:dyDescent="0.35">
      <c r="A71" s="2"/>
      <c r="B71" s="2"/>
    </row>
    <row r="72" spans="1:2" x14ac:dyDescent="0.35">
      <c r="A72" s="2"/>
      <c r="B72" s="2"/>
    </row>
    <row r="73" spans="1:2" x14ac:dyDescent="0.35">
      <c r="A73" s="2"/>
      <c r="B73" s="2"/>
    </row>
    <row r="74" spans="1:2" x14ac:dyDescent="0.35">
      <c r="A74" s="2"/>
      <c r="B74" s="2"/>
    </row>
    <row r="75" spans="1:2" x14ac:dyDescent="0.35">
      <c r="A75" s="2"/>
      <c r="B75" s="2"/>
    </row>
    <row r="76" spans="1:2" x14ac:dyDescent="0.35">
      <c r="A76" s="2"/>
      <c r="B76" s="2"/>
    </row>
    <row r="77" spans="1:2" x14ac:dyDescent="0.35">
      <c r="A77" s="2"/>
      <c r="B77" s="2"/>
    </row>
    <row r="78" spans="1:2" x14ac:dyDescent="0.35">
      <c r="A78" s="2"/>
      <c r="B78" s="2"/>
    </row>
    <row r="79" spans="1:2" x14ac:dyDescent="0.35">
      <c r="A79" s="2"/>
      <c r="B79" s="2"/>
    </row>
    <row r="80" spans="1:2" x14ac:dyDescent="0.35">
      <c r="A80" s="2"/>
      <c r="B80" s="2"/>
    </row>
    <row r="81" spans="1:2" x14ac:dyDescent="0.35">
      <c r="A81" s="2"/>
      <c r="B81" s="2"/>
    </row>
    <row r="82" spans="1:2" x14ac:dyDescent="0.35">
      <c r="A82" s="2"/>
      <c r="B82" s="2"/>
    </row>
    <row r="83" spans="1:2" x14ac:dyDescent="0.35">
      <c r="A83" s="2"/>
      <c r="B83" s="2"/>
    </row>
    <row r="84" spans="1:2" x14ac:dyDescent="0.35">
      <c r="A84" s="2"/>
      <c r="B84" s="2"/>
    </row>
    <row r="85" spans="1:2" x14ac:dyDescent="0.35">
      <c r="A85" s="2"/>
      <c r="B85" s="2"/>
    </row>
    <row r="86" spans="1:2" x14ac:dyDescent="0.35">
      <c r="A86" s="2"/>
      <c r="B86" s="2"/>
    </row>
    <row r="87" spans="1:2" x14ac:dyDescent="0.35">
      <c r="A87" s="2"/>
      <c r="B87" s="2"/>
    </row>
    <row r="88" spans="1:2" x14ac:dyDescent="0.35">
      <c r="A88" s="2"/>
      <c r="B88" s="2"/>
    </row>
    <row r="89" spans="1:2" x14ac:dyDescent="0.35">
      <c r="A89" s="2"/>
      <c r="B89" s="2"/>
    </row>
    <row r="90" spans="1:2" x14ac:dyDescent="0.35">
      <c r="A90" s="2"/>
      <c r="B90" s="2"/>
    </row>
    <row r="91" spans="1:2" x14ac:dyDescent="0.35">
      <c r="A91" s="2"/>
      <c r="B91" s="2"/>
    </row>
    <row r="92" spans="1:2" x14ac:dyDescent="0.35">
      <c r="A92" s="2"/>
      <c r="B92" s="2"/>
    </row>
    <row r="93" spans="1:2" x14ac:dyDescent="0.35">
      <c r="A93" s="2"/>
      <c r="B93" s="2"/>
    </row>
  </sheetData>
  <sheetProtection algorithmName="SHA-512" hashValue="zh8wYYjr02OWgFqP7zsI6Z8bypva0kOwjjOPKbQroF266M+2G3LxrISpvVjKm9TOv67Exgc8m9qNgKh7mBawMg==" saltValue="TTskGQlPUZfpZjfcFQy2Yg==" spinCount="100000" sheet="1" formatCells="0" formatColumns="0" formatRows="0" insertColumns="0" insertRows="0" insertHyperlinks="0" deleteColumns="0" deleteRows="0" selectLockedCells="1" sort="0" autoFilter="0"/>
  <mergeCells count="3">
    <mergeCell ref="A2:B2"/>
    <mergeCell ref="A23:B23"/>
    <mergeCell ref="A22:B22"/>
  </mergeCells>
  <pageMargins left="0.51" right="0.28999999999999998" top="0.65" bottom="0.37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P67"/>
  <sheetViews>
    <sheetView topLeftCell="A5" zoomScale="80" zoomScaleNormal="80" workbookViewId="0">
      <selection activeCell="D5" sqref="D5"/>
    </sheetView>
  </sheetViews>
  <sheetFormatPr baseColWidth="10" defaultColWidth="9.08984375" defaultRowHeight="14.5" x14ac:dyDescent="0.35"/>
  <cols>
    <col min="1" max="1" width="1.90625" customWidth="1"/>
    <col min="2" max="14" width="12.90625" customWidth="1"/>
    <col min="15" max="15" width="3.453125" customWidth="1"/>
    <col min="16" max="16" width="1.36328125" style="2" customWidth="1"/>
  </cols>
  <sheetData>
    <row r="1" spans="1:16" s="2" customFormat="1" ht="15" thickBot="1" x14ac:dyDescent="0.4"/>
    <row r="2" spans="1:16" s="2" customFormat="1" ht="36.5" thickBot="1" x14ac:dyDescent="0.85">
      <c r="B2" s="170" t="s">
        <v>42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  <c r="P2" s="118"/>
    </row>
    <row r="3" spans="1:16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20.149999999999999" customHeight="1" x14ac:dyDescent="0.35">
      <c r="A5" s="2"/>
      <c r="B5" s="55" t="s">
        <v>43</v>
      </c>
      <c r="C5" s="2"/>
      <c r="D5" s="130"/>
      <c r="E5" s="3"/>
      <c r="F5" s="3"/>
      <c r="G5" s="3"/>
      <c r="H5" s="2"/>
      <c r="I5" s="2"/>
      <c r="J5" s="2"/>
      <c r="K5" s="2"/>
      <c r="L5" s="2"/>
      <c r="M5" s="55" t="s">
        <v>46</v>
      </c>
      <c r="N5" s="53"/>
      <c r="O5" s="2"/>
    </row>
    <row r="6" spans="1:16" ht="20.149999999999999" customHeight="1" x14ac:dyDescent="0.35">
      <c r="A6" s="2"/>
      <c r="B6" s="55" t="s">
        <v>20</v>
      </c>
      <c r="C6" s="61" t="s">
        <v>44</v>
      </c>
      <c r="D6" s="62"/>
      <c r="E6" s="12"/>
      <c r="F6" s="2"/>
      <c r="G6" s="2"/>
      <c r="H6" s="2"/>
      <c r="I6" s="2"/>
      <c r="J6" s="2"/>
      <c r="K6" s="2"/>
      <c r="L6" s="2"/>
      <c r="M6" s="55" t="s">
        <v>123</v>
      </c>
      <c r="N6" s="54"/>
      <c r="O6" s="49"/>
    </row>
    <row r="7" spans="1:16" ht="20.149999999999999" customHeight="1" x14ac:dyDescent="0.35">
      <c r="A7" s="2"/>
      <c r="B7" s="55" t="s">
        <v>45</v>
      </c>
      <c r="C7" s="2"/>
      <c r="D7" s="63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20.149999999999999" customHeight="1" x14ac:dyDescent="0.35">
      <c r="A8" s="2"/>
      <c r="B8" s="28"/>
      <c r="C8" s="5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6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6" ht="15" thickBo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x14ac:dyDescent="0.35">
      <c r="A12" s="2"/>
      <c r="B12" s="143" t="s">
        <v>47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5"/>
      <c r="O12" s="2"/>
    </row>
    <row r="13" spans="1:16" ht="15" thickBot="1" x14ac:dyDescent="0.4">
      <c r="A13" s="2"/>
      <c r="B13" s="146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8"/>
      <c r="O13" s="2"/>
    </row>
    <row r="14" spans="1:16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6" ht="15" thickBot="1" x14ac:dyDescent="0.4">
      <c r="A15" s="4"/>
      <c r="B15" s="4"/>
      <c r="C15" s="4"/>
      <c r="D15" s="4"/>
      <c r="E15" s="4"/>
      <c r="F15" s="4"/>
      <c r="G15" s="2"/>
      <c r="H15" s="2"/>
      <c r="I15" s="2"/>
      <c r="J15" s="2"/>
      <c r="K15" s="12"/>
      <c r="L15" s="2"/>
      <c r="M15" s="2"/>
      <c r="N15" s="2"/>
      <c r="O15" s="2"/>
    </row>
    <row r="16" spans="1:16" s="47" customFormat="1" ht="26.25" customHeight="1" thickBot="1" x14ac:dyDescent="0.4">
      <c r="A16" s="27"/>
      <c r="B16" s="27"/>
      <c r="C16" s="158" t="s">
        <v>11</v>
      </c>
      <c r="D16" s="159"/>
      <c r="E16" s="160"/>
      <c r="F16" s="149" t="s">
        <v>48</v>
      </c>
      <c r="G16" s="150"/>
      <c r="H16" s="150"/>
      <c r="I16" s="150"/>
      <c r="J16" s="150"/>
      <c r="K16" s="150"/>
      <c r="L16" s="150"/>
      <c r="M16" s="150"/>
      <c r="N16" s="151"/>
      <c r="O16" s="27"/>
      <c r="P16" s="27"/>
    </row>
    <row r="17" spans="1:16" ht="16" thickBot="1" x14ac:dyDescent="0.4">
      <c r="A17" s="2"/>
      <c r="B17" s="2"/>
      <c r="C17" s="37">
        <v>1</v>
      </c>
      <c r="D17" s="41">
        <v>2</v>
      </c>
      <c r="E17" s="42">
        <v>3</v>
      </c>
      <c r="F17" s="37">
        <v>4</v>
      </c>
      <c r="G17" s="43">
        <v>5</v>
      </c>
      <c r="H17" s="44">
        <v>6</v>
      </c>
      <c r="I17" s="37">
        <v>7</v>
      </c>
      <c r="J17" s="37">
        <v>8</v>
      </c>
      <c r="K17" s="37">
        <v>9</v>
      </c>
      <c r="L17" s="43">
        <v>10</v>
      </c>
      <c r="M17" s="37">
        <v>11</v>
      </c>
      <c r="N17" s="45">
        <v>12</v>
      </c>
      <c r="O17" s="2"/>
    </row>
    <row r="18" spans="1:16" s="6" customFormat="1" ht="30" customHeight="1" x14ac:dyDescent="0.35">
      <c r="A18" s="5"/>
      <c r="B18" s="38" t="s">
        <v>0</v>
      </c>
      <c r="C18" s="156" t="s">
        <v>12</v>
      </c>
      <c r="D18" s="156" t="s">
        <v>15</v>
      </c>
      <c r="E18" s="161" t="s">
        <v>18</v>
      </c>
      <c r="F18" s="154" t="s">
        <v>51</v>
      </c>
      <c r="G18" s="154" t="s">
        <v>55</v>
      </c>
      <c r="H18" s="154" t="s">
        <v>59</v>
      </c>
      <c r="I18" s="154" t="s">
        <v>63</v>
      </c>
      <c r="J18" s="154" t="s">
        <v>67</v>
      </c>
      <c r="K18" s="154" t="s">
        <v>71</v>
      </c>
      <c r="L18" s="154" t="s">
        <v>75</v>
      </c>
      <c r="M18" s="154" t="s">
        <v>79</v>
      </c>
      <c r="N18" s="152" t="s">
        <v>83</v>
      </c>
      <c r="O18" s="108"/>
      <c r="P18" s="5"/>
    </row>
    <row r="19" spans="1:16" s="6" customFormat="1" ht="30" customHeight="1" thickBot="1" x14ac:dyDescent="0.4">
      <c r="A19" s="5"/>
      <c r="B19" s="39" t="s">
        <v>1</v>
      </c>
      <c r="C19" s="157"/>
      <c r="D19" s="157"/>
      <c r="E19" s="162"/>
      <c r="F19" s="155"/>
      <c r="G19" s="155"/>
      <c r="H19" s="155"/>
      <c r="I19" s="155"/>
      <c r="J19" s="155"/>
      <c r="K19" s="155"/>
      <c r="L19" s="155"/>
      <c r="M19" s="155"/>
      <c r="N19" s="153"/>
      <c r="O19" s="5"/>
      <c r="P19" s="5"/>
    </row>
    <row r="20" spans="1:16" s="6" customFormat="1" ht="30" customHeight="1" x14ac:dyDescent="0.35">
      <c r="A20" s="5"/>
      <c r="B20" s="40" t="s">
        <v>2</v>
      </c>
      <c r="C20" s="156" t="s">
        <v>13</v>
      </c>
      <c r="D20" s="156" t="s">
        <v>16</v>
      </c>
      <c r="E20" s="162"/>
      <c r="F20" s="154" t="s">
        <v>52</v>
      </c>
      <c r="G20" s="154" t="s">
        <v>56</v>
      </c>
      <c r="H20" s="154" t="s">
        <v>60</v>
      </c>
      <c r="I20" s="154" t="s">
        <v>64</v>
      </c>
      <c r="J20" s="154" t="s">
        <v>68</v>
      </c>
      <c r="K20" s="154" t="s">
        <v>72</v>
      </c>
      <c r="L20" s="154" t="s">
        <v>76</v>
      </c>
      <c r="M20" s="154" t="s">
        <v>80</v>
      </c>
      <c r="N20" s="152" t="s">
        <v>84</v>
      </c>
      <c r="O20" s="5"/>
      <c r="P20" s="5"/>
    </row>
    <row r="21" spans="1:16" s="6" customFormat="1" ht="30" customHeight="1" thickBot="1" x14ac:dyDescent="0.4">
      <c r="A21" s="5"/>
      <c r="B21" s="39" t="s">
        <v>3</v>
      </c>
      <c r="C21" s="157"/>
      <c r="D21" s="157"/>
      <c r="E21" s="163"/>
      <c r="F21" s="155"/>
      <c r="G21" s="155"/>
      <c r="H21" s="155"/>
      <c r="I21" s="155"/>
      <c r="J21" s="155"/>
      <c r="K21" s="155"/>
      <c r="L21" s="155"/>
      <c r="M21" s="155"/>
      <c r="N21" s="153"/>
      <c r="O21" s="5"/>
      <c r="P21" s="5"/>
    </row>
    <row r="22" spans="1:16" s="6" customFormat="1" ht="30" customHeight="1" x14ac:dyDescent="0.35">
      <c r="A22" s="5"/>
      <c r="B22" s="40" t="s">
        <v>4</v>
      </c>
      <c r="C22" s="156" t="s">
        <v>14</v>
      </c>
      <c r="D22" s="161" t="s">
        <v>18</v>
      </c>
      <c r="E22" s="152" t="s">
        <v>49</v>
      </c>
      <c r="F22" s="154" t="s">
        <v>53</v>
      </c>
      <c r="G22" s="154" t="s">
        <v>57</v>
      </c>
      <c r="H22" s="154" t="s">
        <v>61</v>
      </c>
      <c r="I22" s="154" t="s">
        <v>65</v>
      </c>
      <c r="J22" s="154" t="s">
        <v>69</v>
      </c>
      <c r="K22" s="154" t="s">
        <v>73</v>
      </c>
      <c r="L22" s="154" t="s">
        <v>77</v>
      </c>
      <c r="M22" s="152" t="s">
        <v>81</v>
      </c>
      <c r="N22" s="152" t="s">
        <v>85</v>
      </c>
      <c r="O22" s="5"/>
      <c r="P22" s="5"/>
    </row>
    <row r="23" spans="1:16" s="6" customFormat="1" ht="30" customHeight="1" thickBot="1" x14ac:dyDescent="0.4">
      <c r="A23" s="5"/>
      <c r="B23" s="39" t="s">
        <v>5</v>
      </c>
      <c r="C23" s="157"/>
      <c r="D23" s="162"/>
      <c r="E23" s="153"/>
      <c r="F23" s="155"/>
      <c r="G23" s="155"/>
      <c r="H23" s="155"/>
      <c r="I23" s="155"/>
      <c r="J23" s="155"/>
      <c r="K23" s="155"/>
      <c r="L23" s="155"/>
      <c r="M23" s="153"/>
      <c r="N23" s="153"/>
      <c r="O23" s="5"/>
      <c r="P23" s="5"/>
    </row>
    <row r="24" spans="1:16" s="6" customFormat="1" ht="30" customHeight="1" x14ac:dyDescent="0.35">
      <c r="A24" s="5"/>
      <c r="B24" s="38" t="s">
        <v>6</v>
      </c>
      <c r="C24" s="156" t="s">
        <v>17</v>
      </c>
      <c r="D24" s="162"/>
      <c r="E24" s="154" t="s">
        <v>50</v>
      </c>
      <c r="F24" s="154" t="s">
        <v>54</v>
      </c>
      <c r="G24" s="154" t="s">
        <v>58</v>
      </c>
      <c r="H24" s="154" t="s">
        <v>62</v>
      </c>
      <c r="I24" s="154" t="s">
        <v>66</v>
      </c>
      <c r="J24" s="154" t="s">
        <v>70</v>
      </c>
      <c r="K24" s="154" t="s">
        <v>74</v>
      </c>
      <c r="L24" s="154" t="s">
        <v>78</v>
      </c>
      <c r="M24" s="152" t="s">
        <v>82</v>
      </c>
      <c r="N24" s="152" t="s">
        <v>86</v>
      </c>
      <c r="O24" s="5"/>
      <c r="P24" s="5"/>
    </row>
    <row r="25" spans="1:16" s="6" customFormat="1" ht="30" customHeight="1" thickBot="1" x14ac:dyDescent="0.4">
      <c r="A25" s="5"/>
      <c r="B25" s="39" t="s">
        <v>7</v>
      </c>
      <c r="C25" s="157"/>
      <c r="D25" s="163"/>
      <c r="E25" s="155"/>
      <c r="F25" s="155"/>
      <c r="G25" s="155"/>
      <c r="H25" s="155"/>
      <c r="I25" s="155"/>
      <c r="J25" s="155"/>
      <c r="K25" s="155"/>
      <c r="L25" s="155"/>
      <c r="M25" s="153"/>
      <c r="N25" s="153"/>
      <c r="O25" s="5"/>
      <c r="P25" s="5"/>
    </row>
    <row r="26" spans="1:16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6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6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6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6" ht="15" customHeight="1" thickBo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6" ht="15" customHeight="1" x14ac:dyDescent="0.35">
      <c r="A31" s="2"/>
      <c r="B31" s="164" t="s">
        <v>87</v>
      </c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6"/>
      <c r="O31" s="2"/>
    </row>
    <row r="32" spans="1:16" ht="15.75" customHeight="1" thickBot="1" x14ac:dyDescent="0.4">
      <c r="A32" s="2"/>
      <c r="B32" s="167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9"/>
      <c r="O32" s="2"/>
    </row>
    <row r="33" spans="1:15" x14ac:dyDescent="0.35">
      <c r="A33" s="2"/>
      <c r="B33" s="2"/>
      <c r="C33" s="2"/>
      <c r="D33" s="2"/>
      <c r="E33" s="2"/>
      <c r="F33" s="2"/>
      <c r="G33" s="2"/>
      <c r="I33" s="2"/>
      <c r="J33" s="2"/>
      <c r="K33" s="2"/>
      <c r="L33" s="2"/>
      <c r="M33" s="2"/>
      <c r="N33" s="2"/>
      <c r="O33" s="2"/>
    </row>
    <row r="34" spans="1:15" ht="18.5" x14ac:dyDescent="0.35">
      <c r="A34" s="2"/>
      <c r="B34" s="2"/>
      <c r="C34" s="2"/>
      <c r="D34" s="2"/>
      <c r="E34" s="2"/>
      <c r="F34" s="2"/>
      <c r="G34" s="2"/>
      <c r="H34" s="64" t="s">
        <v>88</v>
      </c>
      <c r="I34" s="2"/>
      <c r="J34" s="2"/>
      <c r="K34" s="2"/>
      <c r="L34" s="2"/>
      <c r="M34" s="2"/>
      <c r="N34" s="2"/>
      <c r="O34" s="2"/>
    </row>
    <row r="35" spans="1:15" ht="15" thickBot="1" x14ac:dyDescent="0.4">
      <c r="A35" s="2"/>
      <c r="B35" s="2"/>
      <c r="C35" s="128"/>
      <c r="D35" s="128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2"/>
    </row>
    <row r="36" spans="1:15" ht="20.149999999999999" customHeight="1" thickBot="1" x14ac:dyDescent="0.4">
      <c r="A36" s="2"/>
      <c r="B36" s="2"/>
      <c r="C36" s="37">
        <f>+IF(AND(ISERR(C37*2),LEN(C37)&gt;0),"Pb saisie",1)</f>
        <v>1</v>
      </c>
      <c r="D36" s="37">
        <f>+IF(AND(ISERR(D37*2),LEN(D37)&gt;0),"Pb saisie",2)</f>
        <v>2</v>
      </c>
      <c r="E36" s="37">
        <f>+IF(AND(ISERR(E37*2),LEN(E37)&gt;0),"Pb saisie",3)</f>
        <v>3</v>
      </c>
      <c r="F36" s="37">
        <f>+IF(AND(ISERR(F37*2),LEN(F37)&gt;0),"Pb saisie",4)</f>
        <v>4</v>
      </c>
      <c r="G36" s="37">
        <f>+IF(AND(ISERR(G37*2),LEN(G37)&gt;0),"Pb saisie",5)</f>
        <v>5</v>
      </c>
      <c r="H36" s="37">
        <f>+IF(AND(ISERR(H37*2),LEN(H37)&gt;0),"Pb saisie",6)</f>
        <v>6</v>
      </c>
      <c r="I36" s="37">
        <f>+IF(AND(ISERR(I37*2),LEN(I37)&gt;0),"Pb saisie",7)</f>
        <v>7</v>
      </c>
      <c r="J36" s="37">
        <f>+IF(AND(ISERR(J37*2),LEN(J37)&gt;0),"Pb saisie",8)</f>
        <v>8</v>
      </c>
      <c r="K36" s="37">
        <f>+IF(AND(ISERR(K37*2),LEN(K37)&gt;0),"Pb saisie",9)</f>
        <v>9</v>
      </c>
      <c r="L36" s="37">
        <f>+IF(AND(ISERR(L37*2),LEN(L37)&gt;0),"Pb saisie",10)</f>
        <v>10</v>
      </c>
      <c r="M36" s="37">
        <f>+IF(AND(ISERR(M37*2),LEN(M37)&gt;0),"Pb saisie",11)</f>
        <v>11</v>
      </c>
      <c r="N36" s="37">
        <f>+IF(AND(ISERR(N37*2),LEN(N37)&gt;0),"Pb saisie",12)</f>
        <v>12</v>
      </c>
      <c r="O36" s="2"/>
    </row>
    <row r="37" spans="1:15" ht="30" customHeight="1" x14ac:dyDescent="0.35">
      <c r="A37" s="2"/>
      <c r="B37" s="38" t="s">
        <v>0</v>
      </c>
      <c r="C37" s="85"/>
      <c r="D37" s="85"/>
      <c r="E37" s="84"/>
      <c r="F37" s="88"/>
      <c r="G37" s="88"/>
      <c r="H37" s="88"/>
      <c r="I37" s="88"/>
      <c r="J37" s="88"/>
      <c r="K37" s="88"/>
      <c r="L37" s="88"/>
      <c r="M37" s="88"/>
      <c r="N37" s="89"/>
      <c r="O37" s="2"/>
    </row>
    <row r="38" spans="1:15" ht="30" customHeight="1" thickBot="1" x14ac:dyDescent="0.4">
      <c r="A38" s="2"/>
      <c r="B38" s="40" t="s">
        <v>1</v>
      </c>
      <c r="C38" s="86"/>
      <c r="D38" s="86"/>
      <c r="E38" s="84"/>
      <c r="F38" s="90"/>
      <c r="G38" s="90"/>
      <c r="H38" s="90"/>
      <c r="I38" s="90"/>
      <c r="J38" s="90"/>
      <c r="K38" s="90"/>
      <c r="L38" s="90"/>
      <c r="M38" s="90"/>
      <c r="N38" s="91"/>
      <c r="O38" s="2"/>
    </row>
    <row r="39" spans="1:15" ht="30" customHeight="1" x14ac:dyDescent="0.35">
      <c r="A39" s="2"/>
      <c r="B39" s="46" t="s">
        <v>2</v>
      </c>
      <c r="C39" s="85"/>
      <c r="D39" s="85"/>
      <c r="E39" s="84"/>
      <c r="F39" s="88"/>
      <c r="G39" s="88"/>
      <c r="H39" s="88"/>
      <c r="I39" s="88"/>
      <c r="J39" s="88"/>
      <c r="K39" s="88"/>
      <c r="L39" s="88"/>
      <c r="M39" s="88"/>
      <c r="N39" s="89"/>
      <c r="O39" s="2"/>
    </row>
    <row r="40" spans="1:15" ht="30" customHeight="1" thickBot="1" x14ac:dyDescent="0.4">
      <c r="A40" s="2"/>
      <c r="B40" s="46" t="s">
        <v>3</v>
      </c>
      <c r="C40" s="86"/>
      <c r="D40" s="86"/>
      <c r="E40" s="84"/>
      <c r="F40" s="90"/>
      <c r="G40" s="90"/>
      <c r="H40" s="90"/>
      <c r="I40" s="90"/>
      <c r="J40" s="90"/>
      <c r="K40" s="90"/>
      <c r="L40" s="90"/>
      <c r="M40" s="90"/>
      <c r="N40" s="91"/>
      <c r="O40" s="2"/>
    </row>
    <row r="41" spans="1:15" ht="30" customHeight="1" x14ac:dyDescent="0.35">
      <c r="A41" s="2"/>
      <c r="B41" s="46" t="s">
        <v>4</v>
      </c>
      <c r="C41" s="85"/>
      <c r="D41" s="84"/>
      <c r="E41" s="88"/>
      <c r="F41" s="88"/>
      <c r="G41" s="88"/>
      <c r="H41" s="88"/>
      <c r="I41" s="88"/>
      <c r="J41" s="88"/>
      <c r="K41" s="88"/>
      <c r="L41" s="88"/>
      <c r="M41" s="88"/>
      <c r="N41" s="89"/>
      <c r="O41" s="2"/>
    </row>
    <row r="42" spans="1:15" ht="30" customHeight="1" thickBot="1" x14ac:dyDescent="0.4">
      <c r="A42" s="2"/>
      <c r="B42" s="46" t="s">
        <v>5</v>
      </c>
      <c r="C42" s="86"/>
      <c r="D42" s="84"/>
      <c r="E42" s="90"/>
      <c r="F42" s="90"/>
      <c r="G42" s="90"/>
      <c r="H42" s="90"/>
      <c r="I42" s="90"/>
      <c r="J42" s="90"/>
      <c r="K42" s="90"/>
      <c r="L42" s="90"/>
      <c r="M42" s="90"/>
      <c r="N42" s="91"/>
      <c r="O42" s="2"/>
    </row>
    <row r="43" spans="1:15" ht="30" customHeight="1" x14ac:dyDescent="0.35">
      <c r="A43" s="2"/>
      <c r="B43" s="46" t="s">
        <v>6</v>
      </c>
      <c r="C43" s="87"/>
      <c r="D43" s="84"/>
      <c r="E43" s="92"/>
      <c r="F43" s="92"/>
      <c r="G43" s="92"/>
      <c r="H43" s="92"/>
      <c r="I43" s="92"/>
      <c r="J43" s="92"/>
      <c r="K43" s="92"/>
      <c r="L43" s="92"/>
      <c r="M43" s="92"/>
      <c r="N43" s="93"/>
      <c r="O43" s="2"/>
    </row>
    <row r="44" spans="1:15" ht="30" customHeight="1" thickBot="1" x14ac:dyDescent="0.4">
      <c r="A44" s="2"/>
      <c r="B44" s="39" t="s">
        <v>7</v>
      </c>
      <c r="C44" s="86"/>
      <c r="D44" s="94"/>
      <c r="E44" s="90"/>
      <c r="F44" s="90"/>
      <c r="G44" s="90"/>
      <c r="H44" s="90"/>
      <c r="I44" s="90"/>
      <c r="J44" s="90"/>
      <c r="K44" s="90"/>
      <c r="L44" s="90"/>
      <c r="M44" s="90"/>
      <c r="N44" s="91"/>
      <c r="O44" s="2"/>
    </row>
    <row r="45" spans="1:15" ht="8.2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5.2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thickBo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O47" s="2"/>
    </row>
    <row r="48" spans="1:15" x14ac:dyDescent="0.35">
      <c r="A48" s="2"/>
      <c r="B48" s="116" t="s">
        <v>89</v>
      </c>
      <c r="C48" s="117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10"/>
      <c r="O48" s="2"/>
    </row>
    <row r="49" spans="1:15" x14ac:dyDescent="0.35">
      <c r="A49" s="2"/>
      <c r="B49" s="11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112"/>
      <c r="O49" s="2"/>
    </row>
    <row r="50" spans="1:15" x14ac:dyDescent="0.35">
      <c r="A50" s="2"/>
      <c r="B50" s="11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112"/>
      <c r="O50" s="2"/>
    </row>
    <row r="51" spans="1:15" x14ac:dyDescent="0.35">
      <c r="A51" s="2"/>
      <c r="B51" s="11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112"/>
      <c r="O51" s="2"/>
    </row>
    <row r="52" spans="1:15" x14ac:dyDescent="0.35">
      <c r="A52" s="2"/>
      <c r="B52" s="11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112"/>
      <c r="O52" s="2"/>
    </row>
    <row r="53" spans="1:15" x14ac:dyDescent="0.35">
      <c r="A53" s="2"/>
      <c r="B53" s="11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112"/>
      <c r="O53" s="2"/>
    </row>
    <row r="54" spans="1:15" x14ac:dyDescent="0.35">
      <c r="A54" s="2"/>
      <c r="B54" s="11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112"/>
      <c r="O54" s="2"/>
    </row>
    <row r="55" spans="1:15" x14ac:dyDescent="0.35">
      <c r="A55" s="2"/>
      <c r="B55" s="11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112"/>
      <c r="O55" s="2"/>
    </row>
    <row r="56" spans="1:15" x14ac:dyDescent="0.35">
      <c r="A56" s="2"/>
      <c r="B56" s="11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112"/>
      <c r="O56" s="2"/>
    </row>
    <row r="57" spans="1:15" x14ac:dyDescent="0.35">
      <c r="A57" s="2"/>
      <c r="B57" s="11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112"/>
      <c r="O57" s="2"/>
    </row>
    <row r="58" spans="1:15" x14ac:dyDescent="0.35">
      <c r="A58" s="2"/>
      <c r="B58" s="11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112"/>
      <c r="O58" s="2"/>
    </row>
    <row r="59" spans="1:15" x14ac:dyDescent="0.35">
      <c r="A59" s="2"/>
      <c r="B59" s="11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112"/>
      <c r="O59" s="2"/>
    </row>
    <row r="60" spans="1:15" x14ac:dyDescent="0.35">
      <c r="A60" s="2"/>
      <c r="B60" s="11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112"/>
      <c r="O60" s="2"/>
    </row>
    <row r="61" spans="1:15" x14ac:dyDescent="0.35">
      <c r="A61" s="2"/>
      <c r="B61" s="11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112"/>
      <c r="O61" s="2"/>
    </row>
    <row r="62" spans="1:15" ht="15" thickBot="1" x14ac:dyDescent="0.4">
      <c r="A62" s="2"/>
      <c r="B62" s="113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5"/>
      <c r="O62" s="2"/>
    </row>
    <row r="63" spans="1:15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8.5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02" t="s">
        <v>125</v>
      </c>
      <c r="N67" s="52" t="s">
        <v>31</v>
      </c>
      <c r="O67" s="2"/>
    </row>
  </sheetData>
  <sheetProtection algorithmName="SHA-512" hashValue="O7NgKSvNM45D3sBLkx2d4D8RSawYPbQ//bROfWwo8dNpjyzkFC4E5nomfi+Telwt9r2I+TOm2on6yZRguuXEXw==" saltValue="GzwpseLbm/fBu2GkJxGdzg==" spinCount="100000" sheet="1" objects="1" scenarios="1" selectLockedCells="1"/>
  <mergeCells count="51">
    <mergeCell ref="B2:O2"/>
    <mergeCell ref="N24:N25"/>
    <mergeCell ref="H24:H25"/>
    <mergeCell ref="I24:I25"/>
    <mergeCell ref="M18:M19"/>
    <mergeCell ref="M22:M23"/>
    <mergeCell ref="N18:N19"/>
    <mergeCell ref="K18:K19"/>
    <mergeCell ref="L18:L19"/>
    <mergeCell ref="J24:J25"/>
    <mergeCell ref="C22:C23"/>
    <mergeCell ref="C24:C25"/>
    <mergeCell ref="K20:K21"/>
    <mergeCell ref="L20:L21"/>
    <mergeCell ref="M20:M21"/>
    <mergeCell ref="E18:E21"/>
    <mergeCell ref="D22:D25"/>
    <mergeCell ref="E24:E25"/>
    <mergeCell ref="F24:F25"/>
    <mergeCell ref="G24:G25"/>
    <mergeCell ref="B31:N32"/>
    <mergeCell ref="K24:K25"/>
    <mergeCell ref="L24:L25"/>
    <mergeCell ref="M24:M25"/>
    <mergeCell ref="N22:N23"/>
    <mergeCell ref="F18:F19"/>
    <mergeCell ref="G18:G19"/>
    <mergeCell ref="H18:H19"/>
    <mergeCell ref="I18:I19"/>
    <mergeCell ref="J18:J19"/>
    <mergeCell ref="F20:F21"/>
    <mergeCell ref="G20:G21"/>
    <mergeCell ref="H20:H21"/>
    <mergeCell ref="I20:I21"/>
    <mergeCell ref="J20:J21"/>
    <mergeCell ref="B12:N13"/>
    <mergeCell ref="F16:N16"/>
    <mergeCell ref="E22:E23"/>
    <mergeCell ref="F22:F23"/>
    <mergeCell ref="G22:G23"/>
    <mergeCell ref="H22:H23"/>
    <mergeCell ref="I22:I23"/>
    <mergeCell ref="J22:J23"/>
    <mergeCell ref="D18:D19"/>
    <mergeCell ref="K22:K23"/>
    <mergeCell ref="L22:L23"/>
    <mergeCell ref="C16:E16"/>
    <mergeCell ref="N20:N21"/>
    <mergeCell ref="C18:C19"/>
    <mergeCell ref="C20:C21"/>
    <mergeCell ref="D20:D21"/>
  </mergeCells>
  <conditionalFormatting sqref="C36:N36">
    <cfRule type="containsText" dxfId="10" priority="6" operator="containsText" text="Pb saisie">
      <formula>NOT(ISERROR(SEARCH("Pb saisie",C36)))</formula>
    </cfRule>
  </conditionalFormatting>
  <conditionalFormatting sqref="E36:I36">
    <cfRule type="containsText" dxfId="9" priority="1" operator="containsText" text="Pb saisie">
      <formula>NOT(ISERROR(SEARCH("Pb saisie",E36)))</formula>
    </cfRule>
  </conditionalFormatting>
  <pageMargins left="0.24" right="0.24" top="0.75" bottom="0.75" header="0.3" footer="0.3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FF"/>
    <pageSetUpPr fitToPage="1"/>
  </sheetPr>
  <dimension ref="A1:AX108"/>
  <sheetViews>
    <sheetView tabSelected="1" topLeftCell="A62" zoomScaleNormal="100" workbookViewId="0">
      <selection activeCell="D79" sqref="D79"/>
    </sheetView>
  </sheetViews>
  <sheetFormatPr baseColWidth="10" defaultColWidth="9.08984375" defaultRowHeight="14.5" x14ac:dyDescent="0.35"/>
  <cols>
    <col min="1" max="1" width="2.54296875" style="2" customWidth="1"/>
    <col min="2" max="3" width="14.36328125" customWidth="1"/>
    <col min="4" max="4" width="19.6328125" customWidth="1"/>
    <col min="5" max="6" width="14.36328125" customWidth="1"/>
    <col min="7" max="7" width="19.54296875" customWidth="1"/>
    <col min="8" max="8" width="32.6328125" style="10" customWidth="1"/>
    <col min="9" max="10" width="14.36328125" customWidth="1"/>
    <col min="11" max="11" width="1.453125" customWidth="1"/>
    <col min="12" max="32" width="4.90625" style="48" customWidth="1"/>
    <col min="33" max="33" width="14.08984375" style="48" customWidth="1"/>
    <col min="34" max="34" width="15.08984375" style="48" customWidth="1"/>
    <col min="35" max="38" width="14.08984375" style="48" customWidth="1"/>
    <col min="39" max="39" width="17.36328125" style="48" customWidth="1"/>
    <col min="40" max="40" width="11" style="48" customWidth="1"/>
    <col min="41" max="41" width="11.54296875" style="48" bestFit="1" customWidth="1"/>
    <col min="42" max="42" width="9.08984375" style="48"/>
    <col min="43" max="44" width="9.08984375" style="48" customWidth="1"/>
    <col min="45" max="48" width="9.08984375" style="48"/>
    <col min="49" max="50" width="9.08984375" style="2"/>
  </cols>
  <sheetData>
    <row r="1" spans="2:32" ht="15" thickBot="1" x14ac:dyDescent="0.4">
      <c r="B1" s="2"/>
      <c r="C1" s="2"/>
      <c r="D1" s="2"/>
      <c r="E1" s="2"/>
      <c r="F1" s="2"/>
      <c r="G1" s="2"/>
      <c r="H1" s="11"/>
      <c r="I1" s="2"/>
      <c r="J1" s="2"/>
      <c r="K1" s="2"/>
    </row>
    <row r="2" spans="2:32" ht="15" customHeight="1" x14ac:dyDescent="0.35">
      <c r="B2" s="173" t="s">
        <v>32</v>
      </c>
      <c r="C2" s="174"/>
      <c r="D2" s="174"/>
      <c r="E2" s="174"/>
      <c r="F2" s="174"/>
      <c r="G2" s="174"/>
      <c r="H2" s="174"/>
      <c r="I2" s="174"/>
      <c r="J2" s="175"/>
      <c r="K2" s="2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</row>
    <row r="3" spans="2:32" ht="25.5" customHeight="1" thickBot="1" x14ac:dyDescent="0.4">
      <c r="B3" s="176"/>
      <c r="C3" s="177"/>
      <c r="D3" s="177"/>
      <c r="E3" s="177"/>
      <c r="F3" s="177"/>
      <c r="G3" s="177"/>
      <c r="H3" s="177"/>
      <c r="I3" s="177"/>
      <c r="J3" s="178"/>
      <c r="K3" s="2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2:32" x14ac:dyDescent="0.35">
      <c r="B4" s="2"/>
      <c r="C4" s="2"/>
      <c r="D4" s="2"/>
      <c r="E4" s="2"/>
      <c r="F4" s="2"/>
      <c r="G4" s="2"/>
      <c r="H4" s="11"/>
      <c r="I4" s="2"/>
      <c r="J4" s="2"/>
      <c r="K4" s="2"/>
    </row>
    <row r="5" spans="2:32" x14ac:dyDescent="0.35">
      <c r="B5" s="56" t="s">
        <v>90</v>
      </c>
      <c r="C5" s="57" t="str">
        <f>IF('Plate Plan-OD input'!D5="","",       'Plate Plan-OD input'!D5)</f>
        <v/>
      </c>
      <c r="D5" s="2"/>
      <c r="E5" s="2"/>
      <c r="F5" s="2"/>
      <c r="G5" s="2"/>
      <c r="H5" s="59" t="s">
        <v>91</v>
      </c>
      <c r="I5" s="5" t="str">
        <f>IF('Plate Plan-OD input'!N5="","",       'Plate Plan-OD input'!N5)</f>
        <v/>
      </c>
      <c r="J5" s="2"/>
      <c r="K5" s="2"/>
    </row>
    <row r="6" spans="2:32" x14ac:dyDescent="0.35">
      <c r="B6" s="56" t="s">
        <v>21</v>
      </c>
      <c r="C6" s="58" t="str">
        <f>IF('Plate Plan-OD input'!D6="","",       'Plate Plan-OD input'!D6)</f>
        <v/>
      </c>
      <c r="D6" s="2"/>
      <c r="E6" s="2"/>
      <c r="F6" s="2"/>
      <c r="G6" s="2"/>
      <c r="H6" s="59" t="s">
        <v>124</v>
      </c>
      <c r="I6" s="60" t="str">
        <f>IF('Plate Plan-OD input'!N6="","",       'Plate Plan-OD input'!N6)</f>
        <v/>
      </c>
      <c r="J6" s="2"/>
      <c r="K6" s="2"/>
    </row>
    <row r="7" spans="2:32" x14ac:dyDescent="0.35">
      <c r="B7" s="56" t="s">
        <v>33</v>
      </c>
      <c r="C7" s="57" t="str">
        <f>IF('Plate Plan-OD input'!D7="","",       'Plate Plan-OD input'!D7)</f>
        <v/>
      </c>
      <c r="D7" s="2"/>
      <c r="E7" s="2"/>
      <c r="F7" s="2"/>
      <c r="G7" s="2"/>
      <c r="H7" s="11"/>
      <c r="I7" s="2"/>
      <c r="J7" s="2"/>
      <c r="K7" s="2"/>
    </row>
    <row r="8" spans="2:32" ht="23.5" x14ac:dyDescent="0.55000000000000004">
      <c r="B8" s="201" t="s">
        <v>92</v>
      </c>
      <c r="C8" s="201"/>
      <c r="D8" s="201"/>
      <c r="E8" s="201"/>
      <c r="F8" s="201"/>
      <c r="G8" s="201"/>
      <c r="H8" s="201"/>
      <c r="I8" s="201"/>
      <c r="J8" s="201"/>
      <c r="K8" s="2"/>
    </row>
    <row r="9" spans="2:32" x14ac:dyDescent="0.35">
      <c r="B9" s="56"/>
      <c r="C9" s="57"/>
      <c r="D9" s="2"/>
      <c r="E9" s="2"/>
      <c r="F9" s="2"/>
      <c r="G9" s="2"/>
      <c r="H9" s="11"/>
      <c r="I9" s="2"/>
      <c r="J9" s="2"/>
      <c r="K9" s="2"/>
    </row>
    <row r="10" spans="2:32" ht="15" thickBot="1" x14ac:dyDescent="0.4">
      <c r="B10" s="2"/>
      <c r="C10" s="2"/>
      <c r="D10" s="2"/>
      <c r="E10" s="2"/>
      <c r="F10" s="2"/>
      <c r="G10" s="2"/>
      <c r="H10" s="11"/>
      <c r="I10" s="2"/>
      <c r="J10" s="2"/>
      <c r="K10" s="2"/>
    </row>
    <row r="11" spans="2:32" ht="35.25" customHeight="1" thickBot="1" x14ac:dyDescent="0.4">
      <c r="B11" s="193" t="s">
        <v>93</v>
      </c>
      <c r="C11" s="194"/>
      <c r="D11" s="195"/>
      <c r="E11" s="196"/>
      <c r="F11" s="2"/>
      <c r="G11" s="199" t="s">
        <v>103</v>
      </c>
      <c r="H11" s="200"/>
      <c r="I11" s="2"/>
      <c r="J11" s="5"/>
      <c r="K11" s="2"/>
    </row>
    <row r="12" spans="2:32" ht="15.75" customHeight="1" x14ac:dyDescent="0.35">
      <c r="B12" s="197" t="s">
        <v>94</v>
      </c>
      <c r="C12" s="198"/>
      <c r="D12" s="97" t="s">
        <v>95</v>
      </c>
      <c r="E12" s="119" t="str">
        <f>IF(ISERR(AN19),"", AN19)</f>
        <v/>
      </c>
      <c r="F12" s="5"/>
      <c r="G12" s="32" t="s">
        <v>9</v>
      </c>
      <c r="H12" s="69" t="str">
        <f>IF(SUM(C20:D25)=0,"",   ((-$E$29)+(SQRT($E$29^2-(4*$E$28*($E$30-AN22)))))/(2*$E$28))</f>
        <v/>
      </c>
      <c r="I12" s="34" t="s">
        <v>105</v>
      </c>
      <c r="J12" s="5"/>
      <c r="K12" s="2"/>
    </row>
    <row r="13" spans="2:32" x14ac:dyDescent="0.35">
      <c r="B13" s="100" t="str">
        <f t="shared" ref="B13:B16" si="0">IF(AL19=0,"", AL19)</f>
        <v/>
      </c>
      <c r="C13" s="101" t="str">
        <f t="shared" ref="C13:C16" si="1">IF(AL23=0,"", AL23)</f>
        <v/>
      </c>
      <c r="D13" s="98" t="s">
        <v>96</v>
      </c>
      <c r="E13" s="106" t="str">
        <f>IF(ISERR(AN20),"", AN20)</f>
        <v/>
      </c>
      <c r="F13" s="5"/>
      <c r="G13" s="33" t="s">
        <v>10</v>
      </c>
      <c r="H13" s="23" t="str">
        <f>IF(SUM(C20:D25)=0,"", 15)</f>
        <v/>
      </c>
      <c r="I13" s="34" t="s">
        <v>106</v>
      </c>
      <c r="K13" s="2"/>
    </row>
    <row r="14" spans="2:32" ht="15" thickBot="1" x14ac:dyDescent="0.4">
      <c r="B14" s="100" t="str">
        <f t="shared" si="0"/>
        <v/>
      </c>
      <c r="C14" s="101" t="str">
        <f t="shared" si="1"/>
        <v/>
      </c>
      <c r="D14" s="98" t="s">
        <v>97</v>
      </c>
      <c r="E14" s="106" t="str">
        <f>IF(ISERR(AN21),"", AN21)</f>
        <v/>
      </c>
      <c r="F14" s="5"/>
      <c r="G14" s="81" t="s">
        <v>104</v>
      </c>
      <c r="H14" s="24" t="str">
        <f>IF(SUM(C20:D25)=0,"", MAX(C20:D25) + 0.2)</f>
        <v/>
      </c>
      <c r="I14" s="34" t="s">
        <v>107</v>
      </c>
      <c r="J14" s="5"/>
      <c r="K14" s="2"/>
    </row>
    <row r="15" spans="2:32" ht="15" thickBot="1" x14ac:dyDescent="0.4">
      <c r="B15" s="100" t="str">
        <f t="shared" si="0"/>
        <v/>
      </c>
      <c r="C15" s="101" t="str">
        <f t="shared" si="1"/>
        <v/>
      </c>
      <c r="D15" s="99" t="s">
        <v>98</v>
      </c>
      <c r="E15" s="107" t="str">
        <f>IF(ISERR(AN22),"", AN22)</f>
        <v/>
      </c>
      <c r="F15" s="5"/>
      <c r="G15" s="5"/>
      <c r="H15" s="5"/>
      <c r="I15" s="2"/>
      <c r="K15" s="2"/>
    </row>
    <row r="16" spans="2:32" ht="15" thickBot="1" x14ac:dyDescent="0.4">
      <c r="B16" s="102" t="str">
        <f t="shared" si="0"/>
        <v/>
      </c>
      <c r="C16" s="103" t="str">
        <f t="shared" si="1"/>
        <v/>
      </c>
      <c r="D16" s="2"/>
      <c r="E16" s="2"/>
      <c r="F16" s="5"/>
      <c r="G16" s="5"/>
      <c r="H16" s="5"/>
      <c r="I16" s="2"/>
      <c r="J16" s="2"/>
      <c r="K16" s="2"/>
    </row>
    <row r="17" spans="2:40" ht="15" thickBot="1" x14ac:dyDescent="0.4">
      <c r="B17" s="8"/>
      <c r="C17" s="8"/>
      <c r="D17" s="2"/>
      <c r="E17" s="2"/>
      <c r="F17" s="5"/>
      <c r="G17" s="2"/>
      <c r="H17" s="11"/>
      <c r="I17" s="2"/>
      <c r="J17" s="2"/>
      <c r="K17" s="2"/>
    </row>
    <row r="18" spans="2:40" ht="24.75" customHeight="1" thickBot="1" x14ac:dyDescent="0.4">
      <c r="B18" s="179" t="s">
        <v>19</v>
      </c>
      <c r="C18" s="180"/>
      <c r="D18" s="180"/>
      <c r="E18" s="181"/>
      <c r="F18" s="2"/>
      <c r="H18" s="11"/>
      <c r="I18" s="2"/>
      <c r="J18" s="3"/>
      <c r="K18" s="3"/>
    </row>
    <row r="19" spans="2:40" ht="15" thickBot="1" x14ac:dyDescent="0.4">
      <c r="B19" s="74" t="s">
        <v>99</v>
      </c>
      <c r="C19" s="71" t="s">
        <v>100</v>
      </c>
      <c r="D19" s="78" t="s">
        <v>101</v>
      </c>
      <c r="E19" s="74" t="s">
        <v>102</v>
      </c>
      <c r="F19" s="11"/>
      <c r="G19" s="2"/>
      <c r="H19" s="2"/>
      <c r="I19" s="2"/>
      <c r="J19" s="5"/>
      <c r="K19" s="5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H19" s="48">
        <f t="shared" ref="AH19:AH24" si="2">IF(E20&gt;SATURATION,0,B20)</f>
        <v>0</v>
      </c>
      <c r="AI19" s="48">
        <f>'Plate Plan-OD input'!$C37</f>
        <v>0</v>
      </c>
      <c r="AJ19" s="48">
        <f>'Plate Plan-OD input'!$C38</f>
        <v>0</v>
      </c>
      <c r="AK19" s="48" t="e">
        <f t="shared" ref="AK19:AK23" si="3">IF(E20&gt;SATURATION,NSB,E20)</f>
        <v>#DIV/0!</v>
      </c>
      <c r="AL19" s="48">
        <f>'Plate Plan-OD input'!D41</f>
        <v>0</v>
      </c>
      <c r="AM19" s="68" t="s">
        <v>26</v>
      </c>
      <c r="AN19" s="95" t="e">
        <f>AVERAGE(B13:C16)</f>
        <v>#DIV/0!</v>
      </c>
    </row>
    <row r="20" spans="2:40" x14ac:dyDescent="0.35">
      <c r="B20" s="75">
        <v>500</v>
      </c>
      <c r="C20" s="72" t="str">
        <f>IF(AI19=0,      "",  AI19)</f>
        <v/>
      </c>
      <c r="D20" s="79" t="str">
        <f>IF(AJ19=0,      "",  AJ19)</f>
        <v/>
      </c>
      <c r="E20" s="104" t="str">
        <f>IF(      AND(ISTEXT(C20),ISTEXT(D20)), "ABSENT",       AVERAGE(C20:D20)     )</f>
        <v>ABSENT</v>
      </c>
      <c r="F20" s="11"/>
      <c r="G20" s="2"/>
      <c r="H20" s="2"/>
      <c r="I20" s="2"/>
      <c r="J20" s="5"/>
      <c r="K20" s="5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H20" s="48">
        <f t="shared" si="2"/>
        <v>0</v>
      </c>
      <c r="AI20" s="48">
        <f>'Plate Plan-OD input'!$C39</f>
        <v>0</v>
      </c>
      <c r="AJ20" s="48">
        <f>'Plate Plan-OD input'!$C40</f>
        <v>0</v>
      </c>
      <c r="AK20" s="48" t="e">
        <f t="shared" si="3"/>
        <v>#DIV/0!</v>
      </c>
      <c r="AL20" s="48">
        <f>'Plate Plan-OD input'!D42</f>
        <v>0</v>
      </c>
      <c r="AM20" s="48" t="s">
        <v>24</v>
      </c>
      <c r="AN20" s="95" t="e">
        <f>STDEV(B13:C16)</f>
        <v>#DIV/0!</v>
      </c>
    </row>
    <row r="21" spans="2:40" x14ac:dyDescent="0.35">
      <c r="B21" s="76">
        <v>250</v>
      </c>
      <c r="C21" s="72" t="str">
        <f t="shared" ref="C21:C24" si="4">IF(AI20=0,      "",  AI20)</f>
        <v/>
      </c>
      <c r="D21" s="79" t="str">
        <f t="shared" ref="D21:D24" si="5">IF(AJ20=0,      "",  AJ20)</f>
        <v/>
      </c>
      <c r="E21" s="104" t="str">
        <f>IF(      AND(ISTEXT(C21),ISTEXT(D21)), "ABSENT",       AVERAGE(C21:D21)     )</f>
        <v>ABSENT</v>
      </c>
      <c r="F21" s="11"/>
      <c r="G21" s="2"/>
      <c r="H21" s="2"/>
      <c r="I21" s="2"/>
      <c r="J21" s="5"/>
      <c r="K21" s="5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H21" s="48">
        <f t="shared" si="2"/>
        <v>0</v>
      </c>
      <c r="AI21" s="48">
        <f>'Plate Plan-OD input'!$C41</f>
        <v>0</v>
      </c>
      <c r="AJ21" s="48">
        <f>'Plate Plan-OD input'!$C42</f>
        <v>0</v>
      </c>
      <c r="AK21" s="48" t="e">
        <f t="shared" si="3"/>
        <v>#DIV/0!</v>
      </c>
      <c r="AL21" s="48">
        <f>'Plate Plan-OD input'!D43</f>
        <v>0</v>
      </c>
      <c r="AM21" s="48" t="s">
        <v>22</v>
      </c>
      <c r="AN21" s="95" t="e">
        <f>AN19+3*AN20</f>
        <v>#DIV/0!</v>
      </c>
    </row>
    <row r="22" spans="2:40" x14ac:dyDescent="0.35">
      <c r="B22" s="76">
        <v>125</v>
      </c>
      <c r="C22" s="72" t="str">
        <f t="shared" si="4"/>
        <v/>
      </c>
      <c r="D22" s="79" t="str">
        <f t="shared" si="5"/>
        <v/>
      </c>
      <c r="E22" s="104" t="str">
        <f t="shared" ref="E22:E25" si="6">IF(      AND(ISTEXT(C22),ISTEXT(D22)), "ABSENT",       AVERAGE(C22:D22)     )</f>
        <v>ABSENT</v>
      </c>
      <c r="F22" s="11"/>
      <c r="G22" s="5"/>
      <c r="H22" s="2"/>
      <c r="I22" s="2"/>
      <c r="J22" s="5"/>
      <c r="K22" s="5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H22" s="48">
        <f t="shared" si="2"/>
        <v>0</v>
      </c>
      <c r="AI22" s="48">
        <f>'Plate Plan-OD input'!$C43</f>
        <v>0</v>
      </c>
      <c r="AJ22" s="48">
        <f>'Plate Plan-OD input'!$C44</f>
        <v>0</v>
      </c>
      <c r="AK22" s="48" t="e">
        <f t="shared" si="3"/>
        <v>#DIV/0!</v>
      </c>
      <c r="AL22" s="48">
        <f>'Plate Plan-OD input'!D44</f>
        <v>0</v>
      </c>
      <c r="AM22" s="48" t="s">
        <v>23</v>
      </c>
      <c r="AN22" s="95" t="e">
        <f>AN19+10*AN20</f>
        <v>#DIV/0!</v>
      </c>
    </row>
    <row r="23" spans="2:40" x14ac:dyDescent="0.35">
      <c r="B23" s="76">
        <v>62.5</v>
      </c>
      <c r="C23" s="72" t="str">
        <f t="shared" si="4"/>
        <v/>
      </c>
      <c r="D23" s="79" t="str">
        <f t="shared" si="5"/>
        <v/>
      </c>
      <c r="E23" s="104" t="str">
        <f t="shared" si="6"/>
        <v>ABSENT</v>
      </c>
      <c r="F23" s="11"/>
      <c r="G23" s="5"/>
      <c r="H23" s="2"/>
      <c r="I23" s="2"/>
      <c r="J23" s="5"/>
      <c r="K23" s="5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H23" s="48">
        <f t="shared" si="2"/>
        <v>0</v>
      </c>
      <c r="AI23" s="48">
        <f>'Plate Plan-OD input'!D37</f>
        <v>0</v>
      </c>
      <c r="AJ23" s="48">
        <f>'Plate Plan-OD input'!D38</f>
        <v>0</v>
      </c>
      <c r="AK23" s="48" t="e">
        <f t="shared" si="3"/>
        <v>#DIV/0!</v>
      </c>
      <c r="AL23" s="48">
        <f>'Plate Plan-OD input'!E37</f>
        <v>0</v>
      </c>
    </row>
    <row r="24" spans="2:40" x14ac:dyDescent="0.35">
      <c r="B24" s="76">
        <v>31.25</v>
      </c>
      <c r="C24" s="72" t="str">
        <f t="shared" si="4"/>
        <v/>
      </c>
      <c r="D24" s="79" t="str">
        <f t="shared" si="5"/>
        <v/>
      </c>
      <c r="E24" s="104" t="str">
        <f t="shared" si="6"/>
        <v>ABSENT</v>
      </c>
      <c r="F24" s="11"/>
      <c r="G24" s="5"/>
      <c r="H24"/>
      <c r="I24" s="2"/>
      <c r="J24" s="5"/>
      <c r="K24" s="5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H24" s="48">
        <f t="shared" si="2"/>
        <v>0</v>
      </c>
      <c r="AI24" s="48">
        <f>'Plate Plan-OD input'!D39</f>
        <v>0</v>
      </c>
      <c r="AJ24" s="48">
        <f>'Plate Plan-OD input'!D40</f>
        <v>0</v>
      </c>
      <c r="AK24" s="48" t="e">
        <f>IF(E25&gt;SATURATION,NSB,E25)</f>
        <v>#DIV/0!</v>
      </c>
      <c r="AL24" s="48">
        <f>'Plate Plan-OD input'!E38</f>
        <v>0</v>
      </c>
    </row>
    <row r="25" spans="2:40" ht="15" thickBot="1" x14ac:dyDescent="0.4">
      <c r="B25" s="77">
        <v>15.625</v>
      </c>
      <c r="C25" s="73" t="str">
        <f t="shared" ref="C25" si="7">IF(AI24=0,      "",  AI24)</f>
        <v/>
      </c>
      <c r="D25" s="80" t="str">
        <f t="shared" ref="D25" si="8">IF(AJ24=0,      "",  AJ24)</f>
        <v/>
      </c>
      <c r="E25" s="105" t="str">
        <f t="shared" si="6"/>
        <v>ABSENT</v>
      </c>
      <c r="F25" s="11"/>
      <c r="G25" s="5"/>
      <c r="H25" s="2"/>
      <c r="I25" s="2"/>
      <c r="J25" s="5"/>
      <c r="K25" s="5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H25" s="48">
        <v>0</v>
      </c>
      <c r="AK25" s="48" t="e">
        <f>NSB</f>
        <v>#DIV/0!</v>
      </c>
      <c r="AL25" s="48">
        <f>'Plate Plan-OD input'!E39</f>
        <v>0</v>
      </c>
    </row>
    <row r="26" spans="2:40" ht="15" thickBot="1" x14ac:dyDescent="0.4">
      <c r="B26" s="15"/>
      <c r="C26" s="7"/>
      <c r="D26" s="16"/>
      <c r="E26" s="9"/>
      <c r="F26" s="8"/>
      <c r="G26" s="5"/>
      <c r="H26" s="11"/>
      <c r="I26" s="2"/>
      <c r="J26" s="5"/>
      <c r="K26" s="5"/>
      <c r="AL26" s="48">
        <f>'Plate Plan-OD input'!E40</f>
        <v>0</v>
      </c>
    </row>
    <row r="27" spans="2:40" ht="17.5" x14ac:dyDescent="0.35">
      <c r="B27" s="190" t="s">
        <v>108</v>
      </c>
      <c r="C27" s="191"/>
      <c r="D27" s="191"/>
      <c r="E27" s="192"/>
      <c r="F27" s="5"/>
      <c r="G27" s="5"/>
      <c r="H27" s="11"/>
      <c r="I27" s="2"/>
      <c r="J27" s="5"/>
      <c r="K27" s="5"/>
    </row>
    <row r="28" spans="2:40" x14ac:dyDescent="0.35">
      <c r="B28" s="1"/>
      <c r="C28" s="2"/>
      <c r="D28" s="14" t="s">
        <v>0</v>
      </c>
      <c r="E28" s="21" t="e">
        <f>INDEX(LINEST($AK$19:$AK$25,$AH$19:$AH$25^{1,2}),1,1)</f>
        <v>#VALUE!</v>
      </c>
      <c r="F28" s="5"/>
      <c r="G28" s="5"/>
      <c r="H28" s="11"/>
      <c r="I28" s="2"/>
      <c r="J28" s="2"/>
      <c r="K28" s="2"/>
    </row>
    <row r="29" spans="2:40" x14ac:dyDescent="0.35">
      <c r="B29" s="1"/>
      <c r="C29" s="2"/>
      <c r="D29" s="13" t="s">
        <v>1</v>
      </c>
      <c r="E29" s="21" t="e">
        <f>INDEX(LINEST($AK$19:$AK$25,$AH$19:$AH$25^{1,2}),1,2)</f>
        <v>#VALUE!</v>
      </c>
      <c r="F29" s="5"/>
      <c r="G29" s="5"/>
      <c r="H29" s="11"/>
      <c r="I29" s="2"/>
      <c r="J29" s="2"/>
      <c r="K29" s="2"/>
    </row>
    <row r="30" spans="2:40" x14ac:dyDescent="0.35">
      <c r="B30" s="1"/>
      <c r="C30" s="2"/>
      <c r="D30" s="13" t="s">
        <v>2</v>
      </c>
      <c r="E30" s="21" t="e">
        <f>INDEX(LINEST($AK$19:$AK$25,$AH$19:$AH$25^{1,2}),1,3)</f>
        <v>#VALUE!</v>
      </c>
      <c r="F30" s="5"/>
      <c r="G30" s="5"/>
      <c r="H30" s="11"/>
      <c r="I30" s="2"/>
      <c r="J30" s="2"/>
      <c r="K30" s="2"/>
      <c r="AM30" s="96"/>
    </row>
    <row r="31" spans="2:40" ht="15" thickBot="1" x14ac:dyDescent="0.4">
      <c r="B31" s="188" t="s">
        <v>109</v>
      </c>
      <c r="C31" s="189"/>
      <c r="D31" s="17" t="s">
        <v>8</v>
      </c>
      <c r="E31" s="22" t="e">
        <f>INDEX(LINEST($AK$19:$AK$25,$AH$19:$AH$25^{1,2},TRUE,TRUE),3,1)</f>
        <v>#VALUE!</v>
      </c>
      <c r="F31" s="5"/>
      <c r="G31" s="5"/>
      <c r="H31" s="11"/>
      <c r="I31" s="2"/>
      <c r="J31" s="2"/>
      <c r="K31" s="2"/>
    </row>
    <row r="32" spans="2:40" x14ac:dyDescent="0.35">
      <c r="B32" s="5"/>
      <c r="C32" s="5"/>
      <c r="D32" s="35"/>
      <c r="E32" s="36"/>
      <c r="F32" s="5"/>
      <c r="G32" s="5"/>
      <c r="H32" s="11"/>
      <c r="I32" s="2"/>
      <c r="J32" s="2"/>
      <c r="K32" s="2"/>
    </row>
    <row r="33" spans="2:38" ht="15" thickBot="1" x14ac:dyDescent="0.4">
      <c r="B33" s="5"/>
      <c r="C33" s="5"/>
      <c r="D33" s="5"/>
      <c r="E33" s="5"/>
      <c r="F33" s="5"/>
      <c r="G33" s="5"/>
      <c r="H33" s="11"/>
      <c r="I33" s="2"/>
      <c r="J33" s="2"/>
      <c r="K33" s="2"/>
    </row>
    <row r="34" spans="2:38" x14ac:dyDescent="0.35">
      <c r="B34" s="2"/>
      <c r="C34" s="2"/>
      <c r="D34" s="182" t="s">
        <v>118</v>
      </c>
      <c r="E34" s="183"/>
      <c r="F34" s="183"/>
      <c r="G34" s="183"/>
      <c r="H34" s="184"/>
      <c r="I34" s="2"/>
      <c r="J34" s="2"/>
      <c r="K34" s="2"/>
    </row>
    <row r="35" spans="2:38" ht="8.25" customHeight="1" thickBot="1" x14ac:dyDescent="0.4">
      <c r="B35" s="2"/>
      <c r="C35" s="2"/>
      <c r="D35" s="185"/>
      <c r="E35" s="186"/>
      <c r="F35" s="186"/>
      <c r="G35" s="186"/>
      <c r="H35" s="187"/>
      <c r="I35" s="2"/>
      <c r="J35" s="2"/>
      <c r="K35" s="2"/>
    </row>
    <row r="36" spans="2:38" ht="29.5" thickBot="1" x14ac:dyDescent="0.5">
      <c r="B36" s="2"/>
      <c r="C36" s="2"/>
      <c r="D36" s="25" t="s">
        <v>110</v>
      </c>
      <c r="E36" s="26" t="s">
        <v>100</v>
      </c>
      <c r="F36" s="26" t="s">
        <v>101</v>
      </c>
      <c r="G36" s="26" t="s">
        <v>102</v>
      </c>
      <c r="H36" s="136" t="s">
        <v>119</v>
      </c>
      <c r="I36" s="2"/>
      <c r="J36" s="2"/>
      <c r="K36" s="2"/>
      <c r="AL36" s="83"/>
    </row>
    <row r="37" spans="2:38" ht="17.5" x14ac:dyDescent="0.45">
      <c r="B37" s="2"/>
      <c r="C37" s="2"/>
      <c r="D37" s="29" t="str">
        <f>'Plate Plan-OD input'!E22</f>
        <v>Sample N°1</v>
      </c>
      <c r="E37" s="20" t="str">
        <f>IF(AH37=0,      "",  AH37)</f>
        <v/>
      </c>
      <c r="F37" s="20" t="str">
        <f>IF(AI37=0,      "",  AI37)</f>
        <v/>
      </c>
      <c r="G37" s="18" t="str">
        <f>IF(      AND(ISTEXT(E37),ISTEXT(F37)), "",       AVERAGE(E37:F37)     )</f>
        <v/>
      </c>
      <c r="H37" s="82" t="str">
        <f>IF(G37="","",                 IF(G37&gt;$H$14,$AK$38,              IF($E$12&gt;0.05,$AK$42,         IF($E$20&lt;0.7,$AK$41,   IF($H$12&gt;$H$13,$AK$37,     IF(AJ37&lt;=$H$12,$AK$39,                                   IF(AJ37&lt;$H$13,$AK$40,((-$E$29)+(SQRT($E$29^2-(4*$E$28*($E$30-G37)))))/(2*$E$28))))))))</f>
        <v/>
      </c>
      <c r="I37" s="2"/>
      <c r="J37" s="2"/>
      <c r="K37" s="2"/>
      <c r="AH37" s="68">
        <f>'Plate Plan-OD input'!E41</f>
        <v>0</v>
      </c>
      <c r="AI37" s="68">
        <f>'Plate Plan-OD input'!E42</f>
        <v>0</v>
      </c>
      <c r="AJ37" s="48" t="str">
        <f>IF(SUM(AH37:AI37)=0,"",             ((-$E$29)+(SQRT($E$29^2-(4*$E$28*($E$30-G37)))))/(2*$E$28))</f>
        <v/>
      </c>
      <c r="AK37" s="48" t="s">
        <v>112</v>
      </c>
      <c r="AL37" s="83"/>
    </row>
    <row r="38" spans="2:38" x14ac:dyDescent="0.35">
      <c r="B38" s="2"/>
      <c r="C38" s="2"/>
      <c r="D38" s="29" t="str">
        <f>'Plate Plan-OD input'!E24</f>
        <v>Sample N°2</v>
      </c>
      <c r="E38" s="20" t="str">
        <f t="shared" ref="E38:E74" si="9">IF(AH38=0,      "",  AH38)</f>
        <v/>
      </c>
      <c r="F38" s="20" t="str">
        <f t="shared" ref="F38:F74" si="10">IF(AI38=0,      "",  AI38)</f>
        <v/>
      </c>
      <c r="G38" s="18" t="str">
        <f t="shared" ref="G38:G74" si="11">IF(      AND(ISTEXT(E38),ISTEXT(F38)), "",       AVERAGE(E38:F38)     )</f>
        <v/>
      </c>
      <c r="H38" s="82" t="str">
        <f t="shared" ref="H38:H74" si="12">IF(G38="","",                 IF(G38&gt;$H$14,$AK$38,              IF($E$12&gt;0.05,$AK$42,         IF($E$20&lt;0.7,$AK$41,   IF($H$12&gt;$H$13,$AK$37,     IF(AJ38&lt;=$H$12,$AK$39,                                   IF(AJ38&lt;$H$13,$AK$40,((-$E$29)+(SQRT($E$29^2-(4*$E$28*($E$30-G38)))))/(2*$E$28))))))))</f>
        <v/>
      </c>
      <c r="I38" s="2"/>
      <c r="J38" s="70"/>
      <c r="K38" s="2"/>
      <c r="AH38" s="68">
        <f>'Plate Plan-OD input'!E43</f>
        <v>0</v>
      </c>
      <c r="AI38" s="68">
        <f>'Plate Plan-OD input'!E44</f>
        <v>0</v>
      </c>
      <c r="AJ38" s="48" t="str">
        <f t="shared" ref="AJ38:AJ74" si="13">IF(SUM(AH38:AI38)=0,"",             ((-$E$29)+(SQRT($E$29^2-(4*$E$28*($E$30-G38)))))/(2*$E$28))</f>
        <v/>
      </c>
      <c r="AK38" s="48" t="s">
        <v>113</v>
      </c>
    </row>
    <row r="39" spans="2:38" x14ac:dyDescent="0.35">
      <c r="B39" s="2"/>
      <c r="C39" s="2"/>
      <c r="D39" s="30" t="str">
        <f>'Plate Plan-OD input'!F18</f>
        <v>Sample  N°3</v>
      </c>
      <c r="E39" s="20" t="str">
        <f t="shared" si="9"/>
        <v/>
      </c>
      <c r="F39" s="20" t="str">
        <f t="shared" si="10"/>
        <v/>
      </c>
      <c r="G39" s="18" t="str">
        <f t="shared" si="11"/>
        <v/>
      </c>
      <c r="H39" s="82" t="str">
        <f t="shared" si="12"/>
        <v/>
      </c>
      <c r="I39" s="2"/>
      <c r="J39" s="2"/>
      <c r="K39" s="2"/>
      <c r="AH39" s="68">
        <f>'Plate Plan-OD input'!F37</f>
        <v>0</v>
      </c>
      <c r="AI39" s="68">
        <f>'Plate Plan-OD input'!F38</f>
        <v>0</v>
      </c>
      <c r="AJ39" s="48" t="str">
        <f t="shared" si="13"/>
        <v/>
      </c>
      <c r="AK39" s="48" t="s">
        <v>114</v>
      </c>
    </row>
    <row r="40" spans="2:38" ht="15" customHeight="1" x14ac:dyDescent="0.35">
      <c r="B40" s="2"/>
      <c r="C40" s="2"/>
      <c r="D40" s="30" t="str">
        <f>'Plate Plan-OD input'!F20</f>
        <v>Sample N°4</v>
      </c>
      <c r="E40" s="20" t="str">
        <f t="shared" si="9"/>
        <v/>
      </c>
      <c r="F40" s="20" t="str">
        <f t="shared" si="10"/>
        <v/>
      </c>
      <c r="G40" s="18" t="str">
        <f t="shared" si="11"/>
        <v/>
      </c>
      <c r="H40" s="82" t="str">
        <f t="shared" si="12"/>
        <v/>
      </c>
      <c r="I40" s="2"/>
      <c r="J40" s="2"/>
      <c r="K40" s="2"/>
      <c r="AH40" s="68">
        <f>'Plate Plan-OD input'!F39</f>
        <v>0</v>
      </c>
      <c r="AI40" s="68">
        <f>'Plate Plan-OD input'!F40</f>
        <v>0</v>
      </c>
      <c r="AJ40" s="48" t="str">
        <f t="shared" si="13"/>
        <v/>
      </c>
      <c r="AK40" s="48" t="s">
        <v>117</v>
      </c>
    </row>
    <row r="41" spans="2:38" ht="15" customHeight="1" x14ac:dyDescent="0.35">
      <c r="B41" s="2"/>
      <c r="C41" s="2"/>
      <c r="D41" s="30" t="str">
        <f>'Plate Plan-OD input'!F22</f>
        <v>Sample N°5</v>
      </c>
      <c r="E41" s="20" t="str">
        <f t="shared" si="9"/>
        <v/>
      </c>
      <c r="F41" s="20" t="str">
        <f t="shared" si="10"/>
        <v/>
      </c>
      <c r="G41" s="18" t="str">
        <f t="shared" si="11"/>
        <v/>
      </c>
      <c r="H41" s="82" t="str">
        <f t="shared" si="12"/>
        <v/>
      </c>
      <c r="I41" s="2"/>
      <c r="J41" s="2"/>
      <c r="K41" s="2"/>
      <c r="AH41" s="68">
        <f>'Plate Plan-OD input'!F41</f>
        <v>0</v>
      </c>
      <c r="AI41" s="68">
        <f>'Plate Plan-OD input'!F42</f>
        <v>0</v>
      </c>
      <c r="AJ41" s="48" t="str">
        <f t="shared" si="13"/>
        <v/>
      </c>
      <c r="AK41" s="48" t="s">
        <v>115</v>
      </c>
    </row>
    <row r="42" spans="2:38" ht="15" customHeight="1" x14ac:dyDescent="0.35">
      <c r="B42" s="2"/>
      <c r="C42" s="2"/>
      <c r="D42" s="30" t="str">
        <f>'Plate Plan-OD input'!F24</f>
        <v>Sample N°6</v>
      </c>
      <c r="E42" s="20" t="str">
        <f t="shared" si="9"/>
        <v/>
      </c>
      <c r="F42" s="20" t="str">
        <f t="shared" si="10"/>
        <v/>
      </c>
      <c r="G42" s="18" t="str">
        <f t="shared" si="11"/>
        <v/>
      </c>
      <c r="H42" s="82" t="str">
        <f t="shared" si="12"/>
        <v/>
      </c>
      <c r="I42" s="2"/>
      <c r="J42" s="2"/>
      <c r="K42" s="2"/>
      <c r="AH42" s="68">
        <f>'Plate Plan-OD input'!F43</f>
        <v>0</v>
      </c>
      <c r="AI42" s="68">
        <f>'Plate Plan-OD input'!F44</f>
        <v>0</v>
      </c>
      <c r="AJ42" s="48" t="str">
        <f t="shared" si="13"/>
        <v/>
      </c>
      <c r="AK42" s="48" t="s">
        <v>116</v>
      </c>
    </row>
    <row r="43" spans="2:38" ht="15" customHeight="1" x14ac:dyDescent="0.35">
      <c r="B43" s="2"/>
      <c r="C43" s="2"/>
      <c r="D43" s="30" t="str">
        <f>'Plate Plan-OD input'!G18</f>
        <v>Sample N°7</v>
      </c>
      <c r="E43" s="20" t="str">
        <f t="shared" si="9"/>
        <v/>
      </c>
      <c r="F43" s="20" t="str">
        <f t="shared" si="10"/>
        <v/>
      </c>
      <c r="G43" s="18" t="str">
        <f t="shared" si="11"/>
        <v/>
      </c>
      <c r="H43" s="82" t="str">
        <f t="shared" si="12"/>
        <v/>
      </c>
      <c r="I43" s="2"/>
      <c r="J43" s="2"/>
      <c r="K43" s="2"/>
      <c r="AH43" s="68">
        <f>'Plate Plan-OD input'!G37</f>
        <v>0</v>
      </c>
      <c r="AI43" s="68">
        <f>'Plate Plan-OD input'!G38</f>
        <v>0</v>
      </c>
      <c r="AJ43" s="48" t="str">
        <f t="shared" si="13"/>
        <v/>
      </c>
    </row>
    <row r="44" spans="2:38" ht="15" customHeight="1" x14ac:dyDescent="0.35">
      <c r="B44" s="2"/>
      <c r="C44" s="2"/>
      <c r="D44" s="30" t="str">
        <f>'Plate Plan-OD input'!G20</f>
        <v>Sample N°8</v>
      </c>
      <c r="E44" s="20" t="str">
        <f t="shared" si="9"/>
        <v/>
      </c>
      <c r="F44" s="20" t="str">
        <f t="shared" si="10"/>
        <v/>
      </c>
      <c r="G44" s="18" t="str">
        <f t="shared" si="11"/>
        <v/>
      </c>
      <c r="H44" s="82" t="str">
        <f t="shared" si="12"/>
        <v/>
      </c>
      <c r="I44" s="2"/>
      <c r="J44" s="2"/>
      <c r="K44" s="2"/>
      <c r="AH44" s="68">
        <f>'Plate Plan-OD input'!G39</f>
        <v>0</v>
      </c>
      <c r="AI44" s="68">
        <f>'Plate Plan-OD input'!G40</f>
        <v>0</v>
      </c>
      <c r="AJ44" s="48" t="str">
        <f t="shared" si="13"/>
        <v/>
      </c>
    </row>
    <row r="45" spans="2:38" ht="15" customHeight="1" x14ac:dyDescent="0.35">
      <c r="B45" s="2"/>
      <c r="C45" s="2"/>
      <c r="D45" s="30" t="str">
        <f>'Plate Plan-OD input'!G22</f>
        <v>Sample N°9</v>
      </c>
      <c r="E45" s="20" t="str">
        <f t="shared" si="9"/>
        <v/>
      </c>
      <c r="F45" s="20" t="str">
        <f t="shared" si="10"/>
        <v/>
      </c>
      <c r="G45" s="18" t="str">
        <f t="shared" si="11"/>
        <v/>
      </c>
      <c r="H45" s="82" t="str">
        <f t="shared" si="12"/>
        <v/>
      </c>
      <c r="I45" s="2"/>
      <c r="J45" s="2"/>
      <c r="K45" s="2"/>
      <c r="AH45" s="68">
        <f>'Plate Plan-OD input'!G41</f>
        <v>0</v>
      </c>
      <c r="AI45" s="68">
        <f>'Plate Plan-OD input'!G42</f>
        <v>0</v>
      </c>
      <c r="AJ45" s="48" t="str">
        <f t="shared" si="13"/>
        <v/>
      </c>
    </row>
    <row r="46" spans="2:38" ht="15" customHeight="1" x14ac:dyDescent="0.35">
      <c r="B46" s="2"/>
      <c r="C46" s="2"/>
      <c r="D46" s="30" t="str">
        <f>'Plate Plan-OD input'!G24</f>
        <v>Sample N°10</v>
      </c>
      <c r="E46" s="20" t="str">
        <f t="shared" si="9"/>
        <v/>
      </c>
      <c r="F46" s="20" t="str">
        <f t="shared" si="10"/>
        <v/>
      </c>
      <c r="G46" s="18" t="str">
        <f t="shared" si="11"/>
        <v/>
      </c>
      <c r="H46" s="82" t="str">
        <f t="shared" si="12"/>
        <v/>
      </c>
      <c r="I46" s="2"/>
      <c r="J46" s="2"/>
      <c r="K46" s="2"/>
      <c r="AH46" s="68">
        <f>'Plate Plan-OD input'!G43</f>
        <v>0</v>
      </c>
      <c r="AI46" s="68">
        <f>'Plate Plan-OD input'!G44</f>
        <v>0</v>
      </c>
      <c r="AJ46" s="48" t="str">
        <f t="shared" si="13"/>
        <v/>
      </c>
    </row>
    <row r="47" spans="2:38" ht="15" customHeight="1" x14ac:dyDescent="0.35">
      <c r="B47" s="2"/>
      <c r="C47" s="2"/>
      <c r="D47" s="30" t="str">
        <f>'Plate Plan-OD input'!H18</f>
        <v>Sample N°11</v>
      </c>
      <c r="E47" s="20" t="str">
        <f t="shared" si="9"/>
        <v/>
      </c>
      <c r="F47" s="20" t="str">
        <f t="shared" si="10"/>
        <v/>
      </c>
      <c r="G47" s="18" t="str">
        <f t="shared" si="11"/>
        <v/>
      </c>
      <c r="H47" s="82" t="str">
        <f t="shared" si="12"/>
        <v/>
      </c>
      <c r="I47" s="2"/>
      <c r="J47" s="2"/>
      <c r="K47" s="2"/>
      <c r="AH47" s="68">
        <f>'Plate Plan-OD input'!H37</f>
        <v>0</v>
      </c>
      <c r="AI47" s="68">
        <f>'Plate Plan-OD input'!H38</f>
        <v>0</v>
      </c>
      <c r="AJ47" s="48" t="str">
        <f t="shared" si="13"/>
        <v/>
      </c>
    </row>
    <row r="48" spans="2:38" ht="15" customHeight="1" x14ac:dyDescent="0.35">
      <c r="B48" s="2"/>
      <c r="C48" s="2"/>
      <c r="D48" s="30" t="str">
        <f>'Plate Plan-OD input'!H20</f>
        <v>Sample N°12</v>
      </c>
      <c r="E48" s="20" t="str">
        <f t="shared" si="9"/>
        <v/>
      </c>
      <c r="F48" s="20" t="str">
        <f t="shared" si="10"/>
        <v/>
      </c>
      <c r="G48" s="18" t="str">
        <f t="shared" si="11"/>
        <v/>
      </c>
      <c r="H48" s="82" t="str">
        <f t="shared" si="12"/>
        <v/>
      </c>
      <c r="I48" s="2"/>
      <c r="J48" s="2"/>
      <c r="K48" s="2"/>
      <c r="AH48" s="68">
        <f>'Plate Plan-OD input'!H39</f>
        <v>0</v>
      </c>
      <c r="AI48" s="68">
        <f>'Plate Plan-OD input'!H40</f>
        <v>0</v>
      </c>
      <c r="AJ48" s="48" t="str">
        <f t="shared" si="13"/>
        <v/>
      </c>
    </row>
    <row r="49" spans="2:36" ht="15" customHeight="1" x14ac:dyDescent="0.35">
      <c r="B49" s="2"/>
      <c r="C49" s="2"/>
      <c r="D49" s="30" t="str">
        <f>'Plate Plan-OD input'!H22</f>
        <v>Sample N°13</v>
      </c>
      <c r="E49" s="20" t="str">
        <f t="shared" si="9"/>
        <v/>
      </c>
      <c r="F49" s="20" t="str">
        <f t="shared" si="10"/>
        <v/>
      </c>
      <c r="G49" s="18" t="str">
        <f t="shared" si="11"/>
        <v/>
      </c>
      <c r="H49" s="82" t="str">
        <f t="shared" si="12"/>
        <v/>
      </c>
      <c r="I49" s="2"/>
      <c r="J49" s="2"/>
      <c r="K49" s="2"/>
      <c r="AH49" s="68">
        <f>'Plate Plan-OD input'!H41</f>
        <v>0</v>
      </c>
      <c r="AI49" s="68">
        <f>'Plate Plan-OD input'!H42</f>
        <v>0</v>
      </c>
      <c r="AJ49" s="48" t="str">
        <f t="shared" si="13"/>
        <v/>
      </c>
    </row>
    <row r="50" spans="2:36" ht="15" customHeight="1" x14ac:dyDescent="0.35">
      <c r="B50" s="2"/>
      <c r="C50" s="2"/>
      <c r="D50" s="30" t="str">
        <f>'Plate Plan-OD input'!H24</f>
        <v>Sample N°14</v>
      </c>
      <c r="E50" s="20" t="str">
        <f t="shared" si="9"/>
        <v/>
      </c>
      <c r="F50" s="20" t="str">
        <f t="shared" si="10"/>
        <v/>
      </c>
      <c r="G50" s="18" t="str">
        <f t="shared" si="11"/>
        <v/>
      </c>
      <c r="H50" s="82" t="str">
        <f t="shared" si="12"/>
        <v/>
      </c>
      <c r="I50" s="2"/>
      <c r="J50" s="2"/>
      <c r="K50" s="2"/>
      <c r="AH50" s="68">
        <f>'Plate Plan-OD input'!H43</f>
        <v>0</v>
      </c>
      <c r="AI50" s="68">
        <f>'Plate Plan-OD input'!H44</f>
        <v>0</v>
      </c>
      <c r="AJ50" s="48" t="str">
        <f t="shared" si="13"/>
        <v/>
      </c>
    </row>
    <row r="51" spans="2:36" ht="15" customHeight="1" x14ac:dyDescent="0.35">
      <c r="B51" s="2"/>
      <c r="C51" s="2"/>
      <c r="D51" s="30" t="str">
        <f>'Plate Plan-OD input'!I18</f>
        <v>Sample N°15</v>
      </c>
      <c r="E51" s="20" t="str">
        <f t="shared" si="9"/>
        <v/>
      </c>
      <c r="F51" s="20" t="str">
        <f t="shared" si="10"/>
        <v/>
      </c>
      <c r="G51" s="18" t="str">
        <f t="shared" si="11"/>
        <v/>
      </c>
      <c r="H51" s="82" t="str">
        <f t="shared" si="12"/>
        <v/>
      </c>
      <c r="I51" s="2"/>
      <c r="J51" s="2"/>
      <c r="K51" s="2"/>
      <c r="AH51" s="68">
        <f>'Plate Plan-OD input'!I37</f>
        <v>0</v>
      </c>
      <c r="AI51" s="68">
        <f>'Plate Plan-OD input'!I38</f>
        <v>0</v>
      </c>
      <c r="AJ51" s="48" t="str">
        <f t="shared" si="13"/>
        <v/>
      </c>
    </row>
    <row r="52" spans="2:36" ht="15" customHeight="1" x14ac:dyDescent="0.35">
      <c r="B52" s="2"/>
      <c r="C52" s="2"/>
      <c r="D52" s="30" t="str">
        <f>'Plate Plan-OD input'!I20</f>
        <v>Sample N°16</v>
      </c>
      <c r="E52" s="20" t="str">
        <f t="shared" si="9"/>
        <v/>
      </c>
      <c r="F52" s="20" t="str">
        <f t="shared" si="10"/>
        <v/>
      </c>
      <c r="G52" s="18" t="str">
        <f t="shared" si="11"/>
        <v/>
      </c>
      <c r="H52" s="82" t="str">
        <f t="shared" si="12"/>
        <v/>
      </c>
      <c r="I52" s="2"/>
      <c r="J52" s="2"/>
      <c r="K52" s="2"/>
      <c r="AH52" s="68">
        <f>'Plate Plan-OD input'!I39</f>
        <v>0</v>
      </c>
      <c r="AI52" s="68">
        <f>'Plate Plan-OD input'!I40</f>
        <v>0</v>
      </c>
      <c r="AJ52" s="48" t="str">
        <f t="shared" si="13"/>
        <v/>
      </c>
    </row>
    <row r="53" spans="2:36" ht="15" customHeight="1" x14ac:dyDescent="0.35">
      <c r="B53" s="2"/>
      <c r="C53" s="2"/>
      <c r="D53" s="30" t="str">
        <f>'Plate Plan-OD input'!I22</f>
        <v>Sample N°17</v>
      </c>
      <c r="E53" s="20" t="str">
        <f t="shared" si="9"/>
        <v/>
      </c>
      <c r="F53" s="20" t="str">
        <f t="shared" si="10"/>
        <v/>
      </c>
      <c r="G53" s="18" t="str">
        <f t="shared" si="11"/>
        <v/>
      </c>
      <c r="H53" s="82" t="str">
        <f t="shared" si="12"/>
        <v/>
      </c>
      <c r="I53" s="2"/>
      <c r="J53" s="2"/>
      <c r="K53" s="2"/>
      <c r="AH53" s="68">
        <f>'Plate Plan-OD input'!I41</f>
        <v>0</v>
      </c>
      <c r="AI53" s="68">
        <f>'Plate Plan-OD input'!I42</f>
        <v>0</v>
      </c>
      <c r="AJ53" s="48" t="str">
        <f t="shared" si="13"/>
        <v/>
      </c>
    </row>
    <row r="54" spans="2:36" ht="15" customHeight="1" x14ac:dyDescent="0.35">
      <c r="B54" s="2"/>
      <c r="C54" s="2"/>
      <c r="D54" s="30" t="str">
        <f>'Plate Plan-OD input'!I24</f>
        <v>Sample N°18</v>
      </c>
      <c r="E54" s="20" t="str">
        <f t="shared" si="9"/>
        <v/>
      </c>
      <c r="F54" s="20" t="str">
        <f t="shared" si="10"/>
        <v/>
      </c>
      <c r="G54" s="18" t="str">
        <f t="shared" si="11"/>
        <v/>
      </c>
      <c r="H54" s="82" t="str">
        <f t="shared" si="12"/>
        <v/>
      </c>
      <c r="I54" s="2"/>
      <c r="J54" s="2"/>
      <c r="K54" s="2"/>
      <c r="AH54" s="68">
        <f>'Plate Plan-OD input'!I43</f>
        <v>0</v>
      </c>
      <c r="AI54" s="68">
        <f>'Plate Plan-OD input'!I44</f>
        <v>0</v>
      </c>
      <c r="AJ54" s="48" t="str">
        <f t="shared" si="13"/>
        <v/>
      </c>
    </row>
    <row r="55" spans="2:36" ht="15" customHeight="1" x14ac:dyDescent="0.35">
      <c r="B55" s="2"/>
      <c r="C55" s="2"/>
      <c r="D55" s="30" t="str">
        <f>'Plate Plan-OD input'!J18</f>
        <v>Sample N°19</v>
      </c>
      <c r="E55" s="20" t="str">
        <f t="shared" si="9"/>
        <v/>
      </c>
      <c r="F55" s="20" t="str">
        <f t="shared" si="10"/>
        <v/>
      </c>
      <c r="G55" s="18" t="str">
        <f t="shared" si="11"/>
        <v/>
      </c>
      <c r="H55" s="82" t="str">
        <f t="shared" si="12"/>
        <v/>
      </c>
      <c r="I55" s="2"/>
      <c r="J55" s="2"/>
      <c r="K55" s="2"/>
      <c r="AH55" s="68">
        <f>'Plate Plan-OD input'!J37</f>
        <v>0</v>
      </c>
      <c r="AI55" s="68">
        <f>'Plate Plan-OD input'!J38</f>
        <v>0</v>
      </c>
      <c r="AJ55" s="48" t="str">
        <f t="shared" si="13"/>
        <v/>
      </c>
    </row>
    <row r="56" spans="2:36" ht="15" customHeight="1" x14ac:dyDescent="0.35">
      <c r="B56" s="2"/>
      <c r="C56" s="2"/>
      <c r="D56" s="30" t="str">
        <f>'Plate Plan-OD input'!J20</f>
        <v>Sample N°20</v>
      </c>
      <c r="E56" s="20" t="str">
        <f t="shared" si="9"/>
        <v/>
      </c>
      <c r="F56" s="20" t="str">
        <f t="shared" si="10"/>
        <v/>
      </c>
      <c r="G56" s="18" t="str">
        <f t="shared" si="11"/>
        <v/>
      </c>
      <c r="H56" s="82" t="str">
        <f t="shared" si="12"/>
        <v/>
      </c>
      <c r="I56" s="2"/>
      <c r="J56" s="2"/>
      <c r="K56" s="2"/>
      <c r="AH56" s="68">
        <f>'Plate Plan-OD input'!J39</f>
        <v>0</v>
      </c>
      <c r="AI56" s="68">
        <f>'Plate Plan-OD input'!J40</f>
        <v>0</v>
      </c>
      <c r="AJ56" s="48" t="str">
        <f t="shared" si="13"/>
        <v/>
      </c>
    </row>
    <row r="57" spans="2:36" ht="15" customHeight="1" x14ac:dyDescent="0.35">
      <c r="B57" s="2"/>
      <c r="C57" s="2"/>
      <c r="D57" s="30" t="str">
        <f>'Plate Plan-OD input'!J22</f>
        <v>Sample N°21</v>
      </c>
      <c r="E57" s="20" t="str">
        <f t="shared" si="9"/>
        <v/>
      </c>
      <c r="F57" s="20" t="str">
        <f t="shared" si="10"/>
        <v/>
      </c>
      <c r="G57" s="18" t="str">
        <f t="shared" si="11"/>
        <v/>
      </c>
      <c r="H57" s="82" t="str">
        <f t="shared" si="12"/>
        <v/>
      </c>
      <c r="I57" s="2"/>
      <c r="J57" s="2"/>
      <c r="K57" s="2"/>
      <c r="AH57" s="68">
        <f>'Plate Plan-OD input'!J41</f>
        <v>0</v>
      </c>
      <c r="AI57" s="68">
        <f>'Plate Plan-OD input'!J42</f>
        <v>0</v>
      </c>
      <c r="AJ57" s="48" t="str">
        <f t="shared" si="13"/>
        <v/>
      </c>
    </row>
    <row r="58" spans="2:36" ht="15" customHeight="1" x14ac:dyDescent="0.35">
      <c r="B58" s="2"/>
      <c r="C58" s="2"/>
      <c r="D58" s="30" t="str">
        <f>'Plate Plan-OD input'!J24</f>
        <v>Sample N°22</v>
      </c>
      <c r="E58" s="20" t="str">
        <f t="shared" si="9"/>
        <v/>
      </c>
      <c r="F58" s="20" t="str">
        <f t="shared" si="10"/>
        <v/>
      </c>
      <c r="G58" s="18" t="str">
        <f t="shared" si="11"/>
        <v/>
      </c>
      <c r="H58" s="82" t="str">
        <f t="shared" si="12"/>
        <v/>
      </c>
      <c r="I58" s="2"/>
      <c r="J58" s="2"/>
      <c r="K58" s="2"/>
      <c r="AH58" s="68">
        <f>'Plate Plan-OD input'!J43</f>
        <v>0</v>
      </c>
      <c r="AI58" s="68">
        <f>'Plate Plan-OD input'!J44</f>
        <v>0</v>
      </c>
      <c r="AJ58" s="48" t="str">
        <f t="shared" si="13"/>
        <v/>
      </c>
    </row>
    <row r="59" spans="2:36" ht="15" customHeight="1" x14ac:dyDescent="0.35">
      <c r="B59" s="2"/>
      <c r="C59" s="2"/>
      <c r="D59" s="30" t="str">
        <f>'Plate Plan-OD input'!K18</f>
        <v>Sample N°23</v>
      </c>
      <c r="E59" s="20" t="str">
        <f t="shared" si="9"/>
        <v/>
      </c>
      <c r="F59" s="20" t="str">
        <f t="shared" si="10"/>
        <v/>
      </c>
      <c r="G59" s="18" t="str">
        <f t="shared" si="11"/>
        <v/>
      </c>
      <c r="H59" s="82" t="str">
        <f t="shared" si="12"/>
        <v/>
      </c>
      <c r="I59" s="2"/>
      <c r="J59" s="2"/>
      <c r="K59" s="2"/>
      <c r="AH59" s="68">
        <f>'Plate Plan-OD input'!K37</f>
        <v>0</v>
      </c>
      <c r="AI59" s="68">
        <f>'Plate Plan-OD input'!K38</f>
        <v>0</v>
      </c>
      <c r="AJ59" s="48" t="str">
        <f t="shared" si="13"/>
        <v/>
      </c>
    </row>
    <row r="60" spans="2:36" ht="15.75" customHeight="1" x14ac:dyDescent="0.35">
      <c r="B60" s="2"/>
      <c r="C60" s="2"/>
      <c r="D60" s="30" t="str">
        <f>'Plate Plan-OD input'!K20</f>
        <v>Sample N°24</v>
      </c>
      <c r="E60" s="20" t="str">
        <f t="shared" si="9"/>
        <v/>
      </c>
      <c r="F60" s="20" t="str">
        <f t="shared" si="10"/>
        <v/>
      </c>
      <c r="G60" s="18" t="str">
        <f t="shared" si="11"/>
        <v/>
      </c>
      <c r="H60" s="82" t="str">
        <f t="shared" si="12"/>
        <v/>
      </c>
      <c r="I60" s="2"/>
      <c r="J60" s="2"/>
      <c r="K60" s="2"/>
      <c r="AH60" s="68">
        <f>'Plate Plan-OD input'!K39</f>
        <v>0</v>
      </c>
      <c r="AI60" s="68">
        <f>'Plate Plan-OD input'!K40</f>
        <v>0</v>
      </c>
      <c r="AJ60" s="48" t="str">
        <f t="shared" si="13"/>
        <v/>
      </c>
    </row>
    <row r="61" spans="2:36" ht="15.75" customHeight="1" x14ac:dyDescent="0.35">
      <c r="B61" s="2"/>
      <c r="C61" s="2"/>
      <c r="D61" s="30" t="str">
        <f>'Plate Plan-OD input'!K22</f>
        <v>Sample N°25</v>
      </c>
      <c r="E61" s="20" t="str">
        <f t="shared" si="9"/>
        <v/>
      </c>
      <c r="F61" s="20" t="str">
        <f t="shared" si="10"/>
        <v/>
      </c>
      <c r="G61" s="18" t="str">
        <f t="shared" si="11"/>
        <v/>
      </c>
      <c r="H61" s="82" t="str">
        <f t="shared" si="12"/>
        <v/>
      </c>
      <c r="I61" s="2"/>
      <c r="J61" s="2"/>
      <c r="K61" s="2"/>
      <c r="AH61" s="68">
        <f>'Plate Plan-OD input'!K41</f>
        <v>0</v>
      </c>
      <c r="AI61" s="68">
        <f>'Plate Plan-OD input'!K42</f>
        <v>0</v>
      </c>
      <c r="AJ61" s="48" t="str">
        <f t="shared" si="13"/>
        <v/>
      </c>
    </row>
    <row r="62" spans="2:36" ht="16.5" customHeight="1" x14ac:dyDescent="0.35">
      <c r="B62" s="2"/>
      <c r="C62" s="2"/>
      <c r="D62" s="30" t="str">
        <f>'Plate Plan-OD input'!K24</f>
        <v>Sample N°26</v>
      </c>
      <c r="E62" s="20" t="str">
        <f t="shared" si="9"/>
        <v/>
      </c>
      <c r="F62" s="20" t="str">
        <f t="shared" si="10"/>
        <v/>
      </c>
      <c r="G62" s="18" t="str">
        <f t="shared" si="11"/>
        <v/>
      </c>
      <c r="H62" s="82" t="str">
        <f t="shared" si="12"/>
        <v/>
      </c>
      <c r="I62" s="2"/>
      <c r="J62" s="2"/>
      <c r="K62" s="2"/>
      <c r="AH62" s="68">
        <f>'Plate Plan-OD input'!K43</f>
        <v>0</v>
      </c>
      <c r="AI62" s="68">
        <f>'Plate Plan-OD input'!K44</f>
        <v>0</v>
      </c>
      <c r="AJ62" s="48" t="str">
        <f t="shared" si="13"/>
        <v/>
      </c>
    </row>
    <row r="63" spans="2:36" ht="15.75" customHeight="1" x14ac:dyDescent="0.35">
      <c r="B63" s="2"/>
      <c r="C63" s="2"/>
      <c r="D63" s="30" t="str">
        <f>'Plate Plan-OD input'!L18</f>
        <v>Sample N°27</v>
      </c>
      <c r="E63" s="20" t="str">
        <f t="shared" si="9"/>
        <v/>
      </c>
      <c r="F63" s="20" t="str">
        <f t="shared" si="10"/>
        <v/>
      </c>
      <c r="G63" s="18" t="str">
        <f t="shared" si="11"/>
        <v/>
      </c>
      <c r="H63" s="82" t="str">
        <f t="shared" si="12"/>
        <v/>
      </c>
      <c r="I63" s="2"/>
      <c r="J63" s="2"/>
      <c r="K63" s="2"/>
      <c r="AH63" s="68">
        <f>'Plate Plan-OD input'!L37</f>
        <v>0</v>
      </c>
      <c r="AI63" s="68">
        <f>'Plate Plan-OD input'!L38</f>
        <v>0</v>
      </c>
      <c r="AJ63" s="48" t="str">
        <f t="shared" si="13"/>
        <v/>
      </c>
    </row>
    <row r="64" spans="2:36" ht="15" customHeight="1" x14ac:dyDescent="0.35">
      <c r="B64" s="2"/>
      <c r="C64" s="2"/>
      <c r="D64" s="30" t="str">
        <f>'Plate Plan-OD input'!L20</f>
        <v>Sample N°28</v>
      </c>
      <c r="E64" s="20" t="str">
        <f t="shared" si="9"/>
        <v/>
      </c>
      <c r="F64" s="20" t="str">
        <f t="shared" si="10"/>
        <v/>
      </c>
      <c r="G64" s="18" t="str">
        <f t="shared" si="11"/>
        <v/>
      </c>
      <c r="H64" s="82" t="str">
        <f t="shared" si="12"/>
        <v/>
      </c>
      <c r="I64" s="2"/>
      <c r="J64" s="2"/>
      <c r="K64" s="2"/>
      <c r="AH64" s="68">
        <f>'Plate Plan-OD input'!L39</f>
        <v>0</v>
      </c>
      <c r="AI64" s="68">
        <f>'Plate Plan-OD input'!L40</f>
        <v>0</v>
      </c>
      <c r="AJ64" s="48" t="str">
        <f t="shared" si="13"/>
        <v/>
      </c>
    </row>
    <row r="65" spans="2:48" ht="15" customHeight="1" x14ac:dyDescent="0.35">
      <c r="B65" s="2"/>
      <c r="C65" s="2"/>
      <c r="D65" s="30" t="str">
        <f>'Plate Plan-OD input'!L22</f>
        <v>Sample N°29</v>
      </c>
      <c r="E65" s="20" t="str">
        <f t="shared" si="9"/>
        <v/>
      </c>
      <c r="F65" s="20" t="str">
        <f t="shared" si="10"/>
        <v/>
      </c>
      <c r="G65" s="18" t="str">
        <f t="shared" si="11"/>
        <v/>
      </c>
      <c r="H65" s="82" t="str">
        <f t="shared" si="12"/>
        <v/>
      </c>
      <c r="I65" s="2"/>
      <c r="J65" s="2"/>
      <c r="K65" s="2"/>
      <c r="AH65" s="68">
        <f>'Plate Plan-OD input'!L41</f>
        <v>0</v>
      </c>
      <c r="AI65" s="68">
        <f>'Plate Plan-OD input'!L42</f>
        <v>0</v>
      </c>
      <c r="AJ65" s="48" t="str">
        <f t="shared" si="13"/>
        <v/>
      </c>
    </row>
    <row r="66" spans="2:48" ht="15" customHeight="1" x14ac:dyDescent="0.35">
      <c r="B66" s="2"/>
      <c r="C66" s="2"/>
      <c r="D66" s="30" t="str">
        <f>'Plate Plan-OD input'!L24</f>
        <v>Sample N°30</v>
      </c>
      <c r="E66" s="20" t="str">
        <f t="shared" si="9"/>
        <v/>
      </c>
      <c r="F66" s="20" t="str">
        <f t="shared" si="10"/>
        <v/>
      </c>
      <c r="G66" s="18" t="str">
        <f t="shared" si="11"/>
        <v/>
      </c>
      <c r="H66" s="82" t="str">
        <f t="shared" si="12"/>
        <v/>
      </c>
      <c r="I66" s="2"/>
      <c r="J66" s="2"/>
      <c r="K66" s="2"/>
      <c r="AH66" s="68">
        <f>'Plate Plan-OD input'!L43</f>
        <v>0</v>
      </c>
      <c r="AI66" s="68">
        <f>'Plate Plan-OD input'!L44</f>
        <v>0</v>
      </c>
      <c r="AJ66" s="48" t="str">
        <f t="shared" si="13"/>
        <v/>
      </c>
    </row>
    <row r="67" spans="2:48" ht="15" customHeight="1" x14ac:dyDescent="0.35">
      <c r="B67" s="2"/>
      <c r="C67" s="2"/>
      <c r="D67" s="30" t="str">
        <f>'Plate Plan-OD input'!M18</f>
        <v>Sample N°31</v>
      </c>
      <c r="E67" s="20" t="str">
        <f t="shared" si="9"/>
        <v/>
      </c>
      <c r="F67" s="20" t="str">
        <f t="shared" si="10"/>
        <v/>
      </c>
      <c r="G67" s="18" t="str">
        <f t="shared" si="11"/>
        <v/>
      </c>
      <c r="H67" s="82" t="str">
        <f t="shared" si="12"/>
        <v/>
      </c>
      <c r="I67" s="2"/>
      <c r="J67" s="2"/>
      <c r="K67" s="2"/>
      <c r="AH67" s="68">
        <f>'Plate Plan-OD input'!M37</f>
        <v>0</v>
      </c>
      <c r="AI67" s="68">
        <f>'Plate Plan-OD input'!M38</f>
        <v>0</v>
      </c>
      <c r="AJ67" s="48" t="str">
        <f t="shared" si="13"/>
        <v/>
      </c>
    </row>
    <row r="68" spans="2:48" ht="15" customHeight="1" x14ac:dyDescent="0.35">
      <c r="B68" s="2"/>
      <c r="C68" s="2"/>
      <c r="D68" s="30" t="str">
        <f>'Plate Plan-OD input'!M20</f>
        <v>Sample N°32</v>
      </c>
      <c r="E68" s="20" t="str">
        <f t="shared" si="9"/>
        <v/>
      </c>
      <c r="F68" s="20" t="str">
        <f t="shared" si="10"/>
        <v/>
      </c>
      <c r="G68" s="18" t="str">
        <f t="shared" si="11"/>
        <v/>
      </c>
      <c r="H68" s="82" t="str">
        <f t="shared" si="12"/>
        <v/>
      </c>
      <c r="I68" s="2"/>
      <c r="J68" s="2"/>
      <c r="K68" s="2"/>
      <c r="AH68" s="68">
        <f>'Plate Plan-OD input'!M39</f>
        <v>0</v>
      </c>
      <c r="AI68" s="68">
        <f>'Plate Plan-OD input'!M40</f>
        <v>0</v>
      </c>
      <c r="AJ68" s="48" t="str">
        <f t="shared" si="13"/>
        <v/>
      </c>
    </row>
    <row r="69" spans="2:48" ht="15" customHeight="1" x14ac:dyDescent="0.35">
      <c r="B69" s="2"/>
      <c r="C69" s="2"/>
      <c r="D69" s="30" t="str">
        <f>'Plate Plan-OD input'!M22</f>
        <v>Sample N°33</v>
      </c>
      <c r="E69" s="20" t="str">
        <f t="shared" si="9"/>
        <v/>
      </c>
      <c r="F69" s="20" t="str">
        <f t="shared" si="10"/>
        <v/>
      </c>
      <c r="G69" s="18" t="str">
        <f t="shared" si="11"/>
        <v/>
      </c>
      <c r="H69" s="82" t="str">
        <f t="shared" si="12"/>
        <v/>
      </c>
      <c r="I69" s="2"/>
      <c r="J69" s="2"/>
      <c r="K69" s="2"/>
      <c r="AH69" s="68">
        <f>'Plate Plan-OD input'!M41</f>
        <v>0</v>
      </c>
      <c r="AI69" s="68">
        <f>'Plate Plan-OD input'!M42</f>
        <v>0</v>
      </c>
      <c r="AJ69" s="48" t="str">
        <f t="shared" si="13"/>
        <v/>
      </c>
    </row>
    <row r="70" spans="2:48" ht="15" customHeight="1" x14ac:dyDescent="0.35">
      <c r="B70" s="2"/>
      <c r="C70" s="2"/>
      <c r="D70" s="30" t="str">
        <f>'Plate Plan-OD input'!M24</f>
        <v>Sample N°34</v>
      </c>
      <c r="E70" s="20" t="str">
        <f t="shared" si="9"/>
        <v/>
      </c>
      <c r="F70" s="20" t="str">
        <f t="shared" si="10"/>
        <v/>
      </c>
      <c r="G70" s="18" t="str">
        <f t="shared" si="11"/>
        <v/>
      </c>
      <c r="H70" s="82" t="str">
        <f t="shared" si="12"/>
        <v/>
      </c>
      <c r="I70" s="2"/>
      <c r="J70" s="2"/>
      <c r="K70" s="2"/>
      <c r="AH70" s="68">
        <f>'Plate Plan-OD input'!M43</f>
        <v>0</v>
      </c>
      <c r="AI70" s="68">
        <f>'Plate Plan-OD input'!M44</f>
        <v>0</v>
      </c>
      <c r="AJ70" s="48" t="str">
        <f t="shared" si="13"/>
        <v/>
      </c>
    </row>
    <row r="71" spans="2:48" ht="15" customHeight="1" x14ac:dyDescent="0.35">
      <c r="B71" s="2"/>
      <c r="C71" s="2"/>
      <c r="D71" s="30" t="str">
        <f>'Plate Plan-OD input'!N18</f>
        <v>Sample N°35</v>
      </c>
      <c r="E71" s="20" t="str">
        <f t="shared" si="9"/>
        <v/>
      </c>
      <c r="F71" s="20" t="str">
        <f t="shared" si="10"/>
        <v/>
      </c>
      <c r="G71" s="18" t="str">
        <f t="shared" si="11"/>
        <v/>
      </c>
      <c r="H71" s="82" t="str">
        <f t="shared" si="12"/>
        <v/>
      </c>
      <c r="I71" s="2"/>
      <c r="J71" s="2"/>
      <c r="K71" s="2"/>
      <c r="AH71" s="68">
        <f>'Plate Plan-OD input'!N37</f>
        <v>0</v>
      </c>
      <c r="AI71" s="68">
        <f>'Plate Plan-OD input'!N38</f>
        <v>0</v>
      </c>
      <c r="AJ71" s="48" t="str">
        <f t="shared" si="13"/>
        <v/>
      </c>
    </row>
    <row r="72" spans="2:48" ht="15" customHeight="1" x14ac:dyDescent="0.35">
      <c r="B72" s="2"/>
      <c r="C72" s="2"/>
      <c r="D72" s="30" t="str">
        <f>'Plate Plan-OD input'!N20</f>
        <v>Sample N°36</v>
      </c>
      <c r="E72" s="20" t="str">
        <f t="shared" si="9"/>
        <v/>
      </c>
      <c r="F72" s="20" t="str">
        <f t="shared" si="10"/>
        <v/>
      </c>
      <c r="G72" s="18" t="str">
        <f t="shared" si="11"/>
        <v/>
      </c>
      <c r="H72" s="82" t="str">
        <f t="shared" si="12"/>
        <v/>
      </c>
      <c r="I72" s="2"/>
      <c r="J72" s="2"/>
      <c r="K72" s="2"/>
      <c r="AH72" s="68">
        <f>'Plate Plan-OD input'!N39</f>
        <v>0</v>
      </c>
      <c r="AI72" s="68">
        <f>'Plate Plan-OD input'!N40</f>
        <v>0</v>
      </c>
      <c r="AJ72" s="48" t="str">
        <f t="shared" si="13"/>
        <v/>
      </c>
    </row>
    <row r="73" spans="2:48" ht="15" customHeight="1" x14ac:dyDescent="0.35">
      <c r="B73" s="2"/>
      <c r="C73" s="2"/>
      <c r="D73" s="30" t="str">
        <f>'Plate Plan-OD input'!N22</f>
        <v>Sample N°37</v>
      </c>
      <c r="E73" s="20" t="str">
        <f t="shared" si="9"/>
        <v/>
      </c>
      <c r="F73" s="20" t="str">
        <f t="shared" si="10"/>
        <v/>
      </c>
      <c r="G73" s="18" t="str">
        <f t="shared" si="11"/>
        <v/>
      </c>
      <c r="H73" s="82" t="str">
        <f t="shared" si="12"/>
        <v/>
      </c>
      <c r="I73" s="2"/>
      <c r="J73" s="2"/>
      <c r="K73" s="2"/>
      <c r="AH73" s="68">
        <f>'Plate Plan-OD input'!N41</f>
        <v>0</v>
      </c>
      <c r="AI73" s="68">
        <f>'Plate Plan-OD input'!N42</f>
        <v>0</v>
      </c>
      <c r="AJ73" s="48" t="str">
        <f t="shared" si="13"/>
        <v/>
      </c>
    </row>
    <row r="74" spans="2:48" ht="15" customHeight="1" thickBot="1" x14ac:dyDescent="0.4">
      <c r="B74" s="2"/>
      <c r="C74" s="2"/>
      <c r="D74" s="31" t="str">
        <f>'Plate Plan-OD input'!N24</f>
        <v>Sample N°38</v>
      </c>
      <c r="E74" s="19" t="str">
        <f t="shared" si="9"/>
        <v/>
      </c>
      <c r="F74" s="19" t="str">
        <f t="shared" si="10"/>
        <v/>
      </c>
      <c r="G74" s="67" t="str">
        <f t="shared" si="11"/>
        <v/>
      </c>
      <c r="H74" s="82" t="str">
        <f t="shared" si="12"/>
        <v/>
      </c>
      <c r="I74" s="2"/>
      <c r="J74" s="2"/>
      <c r="K74" s="2"/>
      <c r="AH74" s="68">
        <f>'Plate Plan-OD input'!N43</f>
        <v>0</v>
      </c>
      <c r="AI74" s="68">
        <f>'Plate Plan-OD input'!N44</f>
        <v>0</v>
      </c>
      <c r="AJ74" s="48" t="str">
        <f t="shared" si="13"/>
        <v/>
      </c>
    </row>
    <row r="75" spans="2:48" s="2" customFormat="1" ht="15" customHeight="1" x14ac:dyDescent="0.35"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</row>
    <row r="76" spans="2:48" s="2" customFormat="1" x14ac:dyDescent="0.35">
      <c r="H76" s="11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</row>
    <row r="77" spans="2:48" s="2" customFormat="1" x14ac:dyDescent="0.35">
      <c r="B77" s="50" t="s">
        <v>111</v>
      </c>
      <c r="D77" s="65"/>
      <c r="H77" s="11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</row>
    <row r="78" spans="2:48" s="2" customFormat="1" x14ac:dyDescent="0.35">
      <c r="D78" s="27"/>
      <c r="H78" s="11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</row>
    <row r="79" spans="2:48" s="2" customFormat="1" x14ac:dyDescent="0.35">
      <c r="B79" s="50" t="s">
        <v>25</v>
      </c>
      <c r="D79" s="66"/>
      <c r="H79" s="11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</row>
    <row r="80" spans="2:48" s="2" customFormat="1" ht="18.5" x14ac:dyDescent="0.45">
      <c r="H80" s="11"/>
      <c r="I80" s="2" t="s">
        <v>125</v>
      </c>
      <c r="J80" s="52" t="s">
        <v>30</v>
      </c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</row>
    <row r="81" spans="8:48" s="2" customFormat="1" x14ac:dyDescent="0.35">
      <c r="H81" s="11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</row>
    <row r="82" spans="8:48" s="2" customFormat="1" x14ac:dyDescent="0.35">
      <c r="H82" s="11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</row>
    <row r="83" spans="8:48" s="2" customFormat="1" x14ac:dyDescent="0.35">
      <c r="H83" s="11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</row>
    <row r="84" spans="8:48" s="2" customFormat="1" x14ac:dyDescent="0.35">
      <c r="H84" s="11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</row>
    <row r="85" spans="8:48" s="2" customFormat="1" x14ac:dyDescent="0.35">
      <c r="H85" s="11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</row>
    <row r="86" spans="8:48" s="2" customFormat="1" x14ac:dyDescent="0.35">
      <c r="H86" s="11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</row>
    <row r="87" spans="8:48" s="2" customFormat="1" x14ac:dyDescent="0.35">
      <c r="H87" s="11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</row>
    <row r="88" spans="8:48" s="2" customFormat="1" x14ac:dyDescent="0.35">
      <c r="H88" s="11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</row>
    <row r="89" spans="8:48" s="2" customFormat="1" x14ac:dyDescent="0.35">
      <c r="H89" s="11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</row>
    <row r="90" spans="8:48" s="2" customFormat="1" x14ac:dyDescent="0.35">
      <c r="H90" s="11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</row>
    <row r="91" spans="8:48" s="2" customFormat="1" x14ac:dyDescent="0.35">
      <c r="H91" s="11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</row>
    <row r="92" spans="8:48" s="2" customFormat="1" x14ac:dyDescent="0.35">
      <c r="H92" s="11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</row>
    <row r="93" spans="8:48" s="2" customFormat="1" x14ac:dyDescent="0.35">
      <c r="H93" s="11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</row>
    <row r="94" spans="8:48" s="2" customFormat="1" x14ac:dyDescent="0.35">
      <c r="H94" s="11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</row>
    <row r="95" spans="8:48" s="2" customFormat="1" x14ac:dyDescent="0.35">
      <c r="H95" s="11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</row>
    <row r="96" spans="8:48" s="2" customFormat="1" x14ac:dyDescent="0.35">
      <c r="H96" s="11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</row>
    <row r="97" spans="8:48" s="2" customFormat="1" x14ac:dyDescent="0.35">
      <c r="H97" s="11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</row>
    <row r="98" spans="8:48" s="2" customFormat="1" x14ac:dyDescent="0.35">
      <c r="H98" s="11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</row>
    <row r="99" spans="8:48" s="2" customFormat="1" x14ac:dyDescent="0.35">
      <c r="H99" s="11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</row>
    <row r="100" spans="8:48" s="2" customFormat="1" x14ac:dyDescent="0.35">
      <c r="H100" s="11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</row>
    <row r="101" spans="8:48" s="2" customFormat="1" x14ac:dyDescent="0.35">
      <c r="H101" s="11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</row>
    <row r="102" spans="8:48" s="2" customFormat="1" x14ac:dyDescent="0.35">
      <c r="H102" s="11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</row>
    <row r="103" spans="8:48" s="2" customFormat="1" x14ac:dyDescent="0.35">
      <c r="H103" s="11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</row>
    <row r="104" spans="8:48" s="2" customFormat="1" x14ac:dyDescent="0.35">
      <c r="H104" s="11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</row>
    <row r="105" spans="8:48" s="2" customFormat="1" x14ac:dyDescent="0.35">
      <c r="H105" s="11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</row>
    <row r="106" spans="8:48" s="2" customFormat="1" x14ac:dyDescent="0.35">
      <c r="H106" s="11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</row>
    <row r="107" spans="8:48" s="2" customFormat="1" x14ac:dyDescent="0.35">
      <c r="H107" s="11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</row>
    <row r="108" spans="8:48" s="2" customFormat="1" x14ac:dyDescent="0.35">
      <c r="H108" s="11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</row>
  </sheetData>
  <sheetProtection algorithmName="SHA-512" hashValue="qD+IptnJS7gG72z3ITmyCcbtJmIv1vhVkztfn2UhNnXCh+qrBNJkvntBc95QD6a3w8+0PZ1449ma8EpNLKuHcg==" saltValue="7hSC2GJw62GIwwkC3fhwqQ==" spinCount="100000" sheet="1" objects="1" scenarios="1" selectLockedCells="1"/>
  <mergeCells count="9">
    <mergeCell ref="B2:J3"/>
    <mergeCell ref="B18:E18"/>
    <mergeCell ref="D34:H35"/>
    <mergeCell ref="B31:C31"/>
    <mergeCell ref="B27:E27"/>
    <mergeCell ref="B11:E11"/>
    <mergeCell ref="B12:C12"/>
    <mergeCell ref="G11:H11"/>
    <mergeCell ref="B8:J8"/>
  </mergeCells>
  <conditionalFormatting sqref="E12">
    <cfRule type="cellIs" dxfId="8" priority="8" operator="greaterThan">
      <formula>0.05</formula>
    </cfRule>
  </conditionalFormatting>
  <conditionalFormatting sqref="E20">
    <cfRule type="cellIs" dxfId="7" priority="9" operator="lessThan">
      <formula>0.7</formula>
    </cfRule>
  </conditionalFormatting>
  <conditionalFormatting sqref="H12">
    <cfRule type="cellIs" dxfId="6" priority="11" operator="greaterThan">
      <formula>$H$13</formula>
    </cfRule>
  </conditionalFormatting>
  <pageMargins left="0.28999999999999998" right="0.24" top="0.36" bottom="0.4" header="0.3" footer="0.3"/>
  <pageSetup paperSize="9" scale="60" orientation="portrait" r:id="rId1"/>
  <rowBreaks count="1" manualBreakCount="1">
    <brk id="32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CCE7DA1-46E5-4787-919F-31583AE6C52E}">
            <xm:f>NOT(ISERROR(SEARCH($AK$42,H37)))</xm:f>
            <xm:f>$AK$42</xm:f>
            <x14:dxf>
              <font>
                <color rgb="FFFF0000"/>
              </font>
              <fill>
                <patternFill>
                  <bgColor rgb="FFFFFF99"/>
                </patternFill>
              </fill>
            </x14:dxf>
          </x14:cfRule>
          <x14:cfRule type="containsText" priority="2" operator="containsText" id="{BA57E2ED-F303-40C3-B689-FA6B4A0E056D}">
            <xm:f>NOT(ISERROR(SEARCH($AK$41,H37)))</xm:f>
            <xm:f>$AK$41</xm:f>
            <x14:dxf>
              <font>
                <color rgb="FFFF0000"/>
              </font>
              <fill>
                <patternFill>
                  <bgColor rgb="FFFFFF99"/>
                </patternFill>
              </fill>
            </x14:dxf>
          </x14:cfRule>
          <x14:cfRule type="containsText" priority="12" operator="containsText" id="{CF3991B6-42A3-4DE8-8679-272E7B253D70}">
            <xm:f>NOT(ISERROR(SEARCH($AK$38,H37)))</xm:f>
            <xm:f>$AK$38</xm:f>
            <x14:dxf>
              <font>
                <b val="0"/>
                <i val="0"/>
                <color rgb="FF7030A0"/>
              </font>
            </x14:dxf>
          </x14:cfRule>
          <x14:cfRule type="containsText" priority="13" operator="containsText" id="{818F4EAD-D50A-4784-817B-E6E2ABA011F2}">
            <xm:f>NOT(ISERROR(SEARCH($AK$37,H37)))</xm:f>
            <xm:f>$AK$37</xm:f>
            <x14:dxf>
              <font>
                <color rgb="FFFF0000"/>
              </font>
              <fill>
                <patternFill>
                  <bgColor rgb="FFFFFF99"/>
                </patternFill>
              </fill>
            </x14:dxf>
          </x14:cfRule>
          <x14:cfRule type="containsText" priority="14" operator="containsText" id="{5028DE17-E33E-4852-9D9A-E3297F9F554A}">
            <xm:f>NOT(ISERROR(SEARCH($AK$40,H37)))</xm:f>
            <xm:f>$AK$40</xm:f>
            <x14:dxf>
              <font>
                <b val="0"/>
                <i val="0"/>
                <color rgb="FFC00000"/>
              </font>
            </x14:dxf>
          </x14:cfRule>
          <x14:cfRule type="containsText" priority="15" operator="containsText" id="{1E8BC036-834F-490D-A1B9-94D7E1B62BEE}">
            <xm:f>NOT(ISERROR(SEARCH($AK$39,H37)))</xm:f>
            <xm:f>$AK$39</xm:f>
            <x14:dxf>
              <font>
                <b val="0"/>
                <i val="0"/>
                <color theme="1"/>
              </font>
            </x14:dxf>
          </x14:cfRule>
          <xm:sqref>H37:H74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11</vt:i4>
      </vt:variant>
    </vt:vector>
  </HeadingPairs>
  <TitlesOfParts>
    <vt:vector size="14" baseType="lpstr">
      <vt:lpstr>General Information</vt:lpstr>
      <vt:lpstr>Plate Plan-OD input</vt:lpstr>
      <vt:lpstr>Results</vt:lpstr>
      <vt:lpstr>Results!A</vt:lpstr>
      <vt:lpstr>Results!ABS_LOD</vt:lpstr>
      <vt:lpstr>Results!ABS_LOQ</vt:lpstr>
      <vt:lpstr>Results!COEFF_A</vt:lpstr>
      <vt:lpstr>Results!COEFF_B</vt:lpstr>
      <vt:lpstr>Results!COEFF_C</vt:lpstr>
      <vt:lpstr>Results!NSB</vt:lpstr>
      <vt:lpstr>Results!SATURATION</vt:lpstr>
      <vt:lpstr>'General Information'!Zone_d_impression</vt:lpstr>
      <vt:lpstr>'Plate Plan-OD input'!Zone_d_impression</vt:lpstr>
      <vt:lpstr>Results!Zone_d_impression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2024-04-16T07:30:44Z</dcterms:modified>
</cp:coreProperties>
</file>